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08" yWindow="-108" windowWidth="23256" windowHeight="12456" tabRatio="600" firstSheet="0" activeTab="0" autoFilterDateGrouping="1"/>
  </bookViews>
  <sheets>
    <sheet xmlns:r="http://schemas.openxmlformats.org/officeDocument/2006/relationships" name="READ ME FIRST" sheetId="1" state="visible" r:id="rId1"/>
    <sheet xmlns:r="http://schemas.openxmlformats.org/officeDocument/2006/relationships" name="Scenario Control" sheetId="2" state="visible" r:id="rId2"/>
    <sheet xmlns:r="http://schemas.openxmlformats.org/officeDocument/2006/relationships" name="Charts (Deck-Ready)" sheetId="3" state="visible" r:id="rId3"/>
    <sheet xmlns:r="http://schemas.openxmlformats.org/officeDocument/2006/relationships" name="Thesis" sheetId="4" state="visible" r:id="rId4"/>
    <sheet xmlns:r="http://schemas.openxmlformats.org/officeDocument/2006/relationships" name="Hardware" sheetId="5" state="visible" r:id="rId5"/>
    <sheet xmlns:r="http://schemas.openxmlformats.org/officeDocument/2006/relationships" name="Consumables &amp; CPG" sheetId="6" state="visible" r:id="rId6"/>
    <sheet xmlns:r="http://schemas.openxmlformats.org/officeDocument/2006/relationships" name="Digital &amp; IP Licensing" sheetId="7" state="visible" r:id="rId7"/>
    <sheet xmlns:r="http://schemas.openxmlformats.org/officeDocument/2006/relationships" name="Full P&amp;L" sheetId="8" state="visible" r:id="rId8"/>
    <sheet xmlns:r="http://schemas.openxmlformats.org/officeDocument/2006/relationships" name="Reality Check" sheetId="9" state="visible" r:id="rId9"/>
    <sheet xmlns:r="http://schemas.openxmlformats.org/officeDocument/2006/relationships" name="IP &amp; Art Infrastructure" sheetId="10" state="visible" r:id="rId10"/>
    <sheet xmlns:r="http://schemas.openxmlformats.org/officeDocument/2006/relationships" name="TAM SAM SOM" sheetId="11" state="visible" r:id="rId11"/>
    <sheet xmlns:r="http://schemas.openxmlformats.org/officeDocument/2006/relationships" name="Cross-Check" sheetId="12" state="visible" r:id="rId12"/>
  </sheets>
  <definedNames/>
  <calcPr calcId="191029" fullCalcOnLoad="1"/>
</workbook>
</file>

<file path=xl/styles.xml><?xml version="1.0" encoding="utf-8"?>
<styleSheet xmlns="http://schemas.openxmlformats.org/spreadsheetml/2006/main">
  <numFmts count="5">
    <numFmt numFmtId="164" formatCode="\$#,##0.0"/>
    <numFmt numFmtId="165" formatCode="\$#,##0"/>
    <numFmt numFmtId="166" formatCode="\$#,##0;\(\$#,##0\)"/>
    <numFmt numFmtId="167" formatCode="\$#,##0.0&quot;M&quot;"/>
    <numFmt numFmtId="168" formatCode="0.0%"/>
  </numFmts>
  <fonts count="60">
    <font>
      <name val="Calibri"/>
      <color theme="1"/>
      <sz val="11"/>
      <scheme val="minor"/>
    </font>
    <font>
      <name val="Arial"/>
      <family val="2"/>
      <b val="1"/>
      <color rgb="FF1F4E79"/>
      <sz val="13"/>
    </font>
    <font>
      <name val="Arial"/>
      <family val="2"/>
      <i val="1"/>
      <color rgb="FF888888"/>
      <sz val="9"/>
    </font>
    <font>
      <name val="Arial"/>
      <family val="2"/>
      <sz val="9"/>
    </font>
    <font>
      <name val="Arial"/>
      <family val="2"/>
      <b val="1"/>
      <sz val="10"/>
    </font>
    <font>
      <name val="Arial"/>
      <family val="2"/>
      <b val="1"/>
      <color rgb="FFFFFFFF"/>
      <sz val="10"/>
    </font>
    <font>
      <name val="Arial"/>
      <family val="2"/>
      <i val="1"/>
      <color rgb="FF666666"/>
      <sz val="9"/>
    </font>
    <font>
      <name val="Arial"/>
      <family val="2"/>
      <color rgb="FF0000FF"/>
      <sz val="9"/>
    </font>
    <font>
      <name val="Arial"/>
      <family val="2"/>
      <color rgb="FF000000"/>
      <sz val="9"/>
    </font>
    <font>
      <name val="Arial"/>
      <family val="2"/>
      <i val="1"/>
      <color rgb="FF008000"/>
      <sz val="8"/>
    </font>
    <font>
      <name val="Arial"/>
      <family val="2"/>
      <color rgb="FF008000"/>
      <sz val="9"/>
    </font>
    <font>
      <name val="Arial"/>
      <family val="2"/>
      <b val="1"/>
      <color rgb="FF008000"/>
      <sz val="14"/>
    </font>
    <font>
      <name val="Arial"/>
      <family val="2"/>
      <b val="1"/>
      <color rgb="FF008000"/>
      <sz val="10"/>
    </font>
    <font>
      <name val="Arial"/>
      <family val="2"/>
      <b val="1"/>
      <color rgb="FFCC0000"/>
      <sz val="10"/>
    </font>
    <font>
      <name val="Arial"/>
      <family val="2"/>
      <b val="1"/>
      <color rgb="FF0000FF"/>
      <sz val="10"/>
    </font>
    <font>
      <name val="Arial"/>
      <family val="2"/>
      <b val="1"/>
      <color rgb="FF1F4E79"/>
      <sz val="16"/>
    </font>
    <font>
      <name val="Arial"/>
      <family val="2"/>
      <b val="1"/>
      <color rgb="FF008000"/>
      <sz val="16"/>
    </font>
    <font>
      <name val="Arial"/>
      <family val="2"/>
      <b val="1"/>
      <color rgb="FF1F4E79"/>
      <sz val="14"/>
    </font>
    <font>
      <name val="Arial"/>
      <family val="2"/>
      <color rgb="FFCC6600"/>
      <sz val="9"/>
    </font>
    <font>
      <name val="Arial"/>
      <family val="2"/>
      <b val="1"/>
      <color rgb="FFFFFFFF"/>
      <sz val="9"/>
    </font>
    <font>
      <name val="Arial"/>
      <family val="2"/>
      <i val="1"/>
      <color rgb="FF666666"/>
      <sz val="8"/>
    </font>
    <font>
      <name val="Arial"/>
      <family val="2"/>
      <b val="1"/>
      <color rgb="FF008000"/>
      <sz val="9"/>
    </font>
    <font>
      <name val="Arial"/>
      <family val="2"/>
      <color rgb="FF0000FF"/>
      <sz val="9"/>
    </font>
    <font>
      <name val="Arial"/>
      <family val="2"/>
      <b val="1"/>
      <color rgb="FF000000"/>
      <sz val="10"/>
    </font>
    <font>
      <name val="Arial"/>
      <family val="2"/>
      <i val="1"/>
      <color rgb="FF000000"/>
      <sz val="9"/>
    </font>
    <font>
      <name val="Arial"/>
      <family val="2"/>
      <b val="1"/>
      <color rgb="FF000000"/>
      <sz val="13"/>
    </font>
    <font>
      <name val="Arial"/>
      <family val="2"/>
      <b val="1"/>
      <color rgb="FF000000"/>
      <sz val="14"/>
    </font>
    <font>
      <name val="Arial"/>
      <family val="2"/>
      <b val="1"/>
      <sz val="10"/>
    </font>
    <font>
      <name val="Arial"/>
      <family val="2"/>
      <b val="1"/>
      <color theme="1"/>
      <sz val="10"/>
    </font>
    <font>
      <name val="Arial"/>
      <family val="2"/>
      <sz val="9"/>
    </font>
    <font>
      <name val="Arial"/>
      <family val="2"/>
      <i val="1"/>
      <color rgb="FF666666"/>
      <sz val="9"/>
    </font>
    <font>
      <name val="Arial"/>
      <family val="2"/>
      <color theme="1"/>
      <sz val="9"/>
    </font>
    <font>
      <name val="Calibri"/>
      <family val="2"/>
      <color rgb="FF000000"/>
      <sz val="11"/>
      <scheme val="minor"/>
    </font>
    <font>
      <name val="Calibri"/>
      <family val="2"/>
      <color rgb="FF008000"/>
      <sz val="11"/>
      <scheme val="minor"/>
    </font>
    <font>
      <name val="Arial"/>
      <family val="2"/>
      <b val="1"/>
      <color rgb="FF000000"/>
      <sz val="10"/>
    </font>
    <font>
      <name val="Arial"/>
      <family val="2"/>
      <b val="1"/>
      <sz val="9"/>
    </font>
    <font>
      <name val="Calibri"/>
      <family val="2"/>
      <color theme="1"/>
      <sz val="11"/>
      <scheme val="minor"/>
    </font>
    <font>
      <name val="Arial"/>
      <family val="2"/>
      <color rgb="FF00B050"/>
      <sz val="9"/>
    </font>
    <font>
      <name val="Arial"/>
      <family val="2"/>
      <i val="1"/>
      <color rgb="FF00B050"/>
      <sz val="9"/>
    </font>
    <font>
      <name val="Arial"/>
      <b val="1"/>
      <color rgb="FF0D3B30"/>
      <sz val="13"/>
    </font>
    <font>
      <name val="Arial"/>
      <b val="1"/>
      <sz val="10"/>
    </font>
    <font>
      <name val="Arial"/>
      <b val="1"/>
      <color rgb="FF1A6B5C"/>
      <sz val="14"/>
    </font>
    <font>
      <name val="Arial"/>
      <i val="1"/>
      <color rgb="FF888888"/>
      <sz val="9"/>
    </font>
    <font>
      <name val="Arial"/>
      <b val="1"/>
      <color rgb="FFFFFFFF"/>
      <sz val="10"/>
    </font>
    <font>
      <name val="Arial"/>
      <b val="1"/>
      <color rgb="FFFFFFFF"/>
      <sz val="11"/>
    </font>
    <font>
      <name val="Arial"/>
      <b val="1"/>
      <color rgb="FF0D3B30"/>
      <sz val="11"/>
    </font>
    <font>
      <name val="Arial"/>
      <b val="1"/>
      <color rgb="FF0D3B30"/>
      <sz val="10"/>
    </font>
    <font>
      <name val="Arial"/>
      <sz val="9"/>
    </font>
    <font>
      <name val="Arial"/>
      <color rgb="FF0000FF"/>
      <sz val="9"/>
    </font>
    <font>
      <name val="Arial"/>
      <color rgb="FF008000"/>
      <sz val="9"/>
    </font>
    <font>
      <name val="Arial"/>
      <i val="1"/>
      <color rgb="FF666666"/>
      <sz val="9"/>
    </font>
    <font>
      <name val="Arial"/>
      <b val="1"/>
      <sz val="9"/>
    </font>
    <font>
      <name val="Arial"/>
      <i val="1"/>
      <color rgb="FF008000"/>
      <sz val="8"/>
    </font>
    <font>
      <name val="Calibri"/>
      <b val="1"/>
      <color rgb="000F0F14"/>
      <sz val="20"/>
    </font>
    <font>
      <name val="Calibri"/>
      <color rgb="006B6B75"/>
      <sz val="10"/>
    </font>
    <font>
      <name val="Calibri"/>
      <b val="1"/>
      <color rgb="004D8580"/>
      <sz val="14"/>
    </font>
    <font>
      <name val="Calibri"/>
      <b val="1"/>
      <color rgb="002A2A33"/>
      <sz val="12"/>
    </font>
    <font>
      <name val="Calibri"/>
      <color rgb="002A2A33"/>
      <sz val="11"/>
    </font>
    <font>
      <name val="Calibri"/>
      <b val="1"/>
      <color rgb="00FFFFFF"/>
      <sz val="14"/>
    </font>
    <font>
      <name val="Consolas"/>
      <color rgb="002A2A33"/>
      <sz val="10"/>
    </font>
  </fonts>
  <fills count="23">
    <fill>
      <patternFill/>
    </fill>
    <fill>
      <patternFill patternType="gray125"/>
    </fill>
    <fill>
      <patternFill patternType="solid">
        <fgColor rgb="FF1F4E79"/>
      </patternFill>
    </fill>
    <fill>
      <patternFill patternType="solid">
        <fgColor rgb="FFD6E4F0"/>
      </patternFill>
    </fill>
    <fill>
      <patternFill patternType="solid">
        <fgColor rgb="FFE8F0FE"/>
      </patternFill>
    </fill>
    <fill>
      <patternFill patternType="solid">
        <fgColor rgb="FFF8D7DA"/>
      </patternFill>
    </fill>
    <fill>
      <patternFill patternType="solid">
        <fgColor rgb="FFD4EDDA"/>
      </patternFill>
    </fill>
    <fill>
      <patternFill patternType="solid">
        <fgColor rgb="FFFFF3CD"/>
      </patternFill>
    </fill>
    <fill>
      <patternFill patternType="solid">
        <fgColor rgb="FFFFF2CC"/>
      </patternFill>
    </fill>
    <fill>
      <patternFill patternType="solid">
        <fgColor theme="0"/>
        <bgColor indexed="64"/>
      </patternFill>
    </fill>
    <fill>
      <patternFill patternType="solid">
        <fgColor rgb="FFFFF8E1"/>
      </patternFill>
    </fill>
    <fill>
      <patternFill patternType="solid">
        <fgColor rgb="FF0D3B30"/>
      </patternFill>
    </fill>
    <fill>
      <patternFill patternType="solid">
        <fgColor rgb="FF999999"/>
      </patternFill>
    </fill>
    <fill>
      <patternFill patternType="solid">
        <fgColor rgb="FF1A6B5C"/>
      </patternFill>
    </fill>
    <fill>
      <patternFill patternType="solid">
        <fgColor rgb="FFCC6600"/>
      </patternFill>
    </fill>
    <fill>
      <patternFill patternType="solid">
        <fgColor rgb="FF1F4E79"/>
      </patternFill>
    </fill>
    <fill>
      <patternFill patternType="solid">
        <fgColor rgb="FFD6E4F0"/>
      </patternFill>
    </fill>
    <fill>
      <patternFill patternType="solid">
        <fgColor rgb="FFE8F0FE"/>
      </patternFill>
    </fill>
    <fill>
      <patternFill patternType="solid">
        <fgColor rgb="FFFFF2CC"/>
      </patternFill>
    </fill>
    <fill>
      <patternFill patternType="solid">
        <fgColor rgb="00E8F4F2"/>
      </patternFill>
    </fill>
    <fill>
      <patternFill patternType="solid">
        <fgColor rgb="00FEF6E0"/>
      </patternFill>
    </fill>
    <fill>
      <patternFill patternType="solid">
        <fgColor rgb="00FBF7F0"/>
      </patternFill>
    </fill>
    <fill>
      <patternFill patternType="solid">
        <fgColor rgb="000F0F14"/>
      </patternFill>
    </fill>
  </fills>
  <borders count="3">
    <border>
      <left/>
      <right/>
      <top/>
      <bottom/>
      <diagonal/>
    </border>
    <border>
      <left/>
      <right/>
      <top/>
      <bottom/>
      <diagonal/>
    </border>
    <border>
      <left/>
      <right/>
      <top/>
      <bottom style="medium">
        <color rgb="FF1F4E79"/>
      </bottom>
      <diagonal/>
    </border>
  </borders>
  <cellStyleXfs count="2">
    <xf numFmtId="0" fontId="0" fillId="0" borderId="1"/>
    <xf numFmtId="9" fontId="36" fillId="0" borderId="1"/>
  </cellStyleXfs>
  <cellXfs count="128">
    <xf numFmtId="0" fontId="0" fillId="0" borderId="1" pivotButton="0" quotePrefix="0" xfId="0"/>
    <xf numFmtId="0" fontId="1" fillId="0" borderId="1" pivotButton="0" quotePrefix="0" xfId="0"/>
    <xf numFmtId="0" fontId="2" fillId="0" borderId="1" pivotButton="0" quotePrefix="0" xfId="0"/>
    <xf numFmtId="0" fontId="4" fillId="3" borderId="1" pivotButton="0" quotePrefix="0" xfId="0"/>
    <xf numFmtId="0" fontId="0" fillId="3" borderId="1" pivotButton="0" quotePrefix="0" xfId="0"/>
    <xf numFmtId="0" fontId="19" fillId="2" borderId="1" pivotButton="0" quotePrefix="0" xfId="0"/>
    <xf numFmtId="0" fontId="3" fillId="0" borderId="1" pivotButton="0" quotePrefix="0" xfId="0"/>
    <xf numFmtId="164" fontId="10" fillId="0" borderId="1" pivotButton="0" quotePrefix="0" xfId="0"/>
    <xf numFmtId="0" fontId="8" fillId="0" borderId="1" pivotButton="0" quotePrefix="0" xfId="0"/>
    <xf numFmtId="0" fontId="20" fillId="0" borderId="1" pivotButton="0" quotePrefix="0" xfId="0"/>
    <xf numFmtId="9" fontId="10" fillId="0" borderId="1" pivotButton="0" quotePrefix="0" xfId="0"/>
    <xf numFmtId="3" fontId="10" fillId="0" borderId="1" pivotButton="0" quotePrefix="0" xfId="0"/>
    <xf numFmtId="3" fontId="21" fillId="0" borderId="1" pivotButton="0" quotePrefix="0" xfId="0"/>
    <xf numFmtId="0" fontId="4" fillId="0" borderId="1" pivotButton="0" quotePrefix="0" xfId="0"/>
    <xf numFmtId="0" fontId="5" fillId="2" borderId="1" applyAlignment="1" pivotButton="0" quotePrefix="0" xfId="0">
      <alignment horizontal="center"/>
    </xf>
    <xf numFmtId="0" fontId="6" fillId="0" borderId="1" pivotButton="0" quotePrefix="0" xfId="0"/>
    <xf numFmtId="0" fontId="4" fillId="0" borderId="2" pivotButton="0" quotePrefix="0" xfId="0"/>
    <xf numFmtId="3" fontId="23" fillId="0" borderId="2" applyAlignment="1" pivotButton="0" quotePrefix="0" xfId="0">
      <alignment horizontal="right"/>
    </xf>
    <xf numFmtId="3" fontId="8" fillId="0" borderId="1" applyAlignment="1" pivotButton="0" quotePrefix="0" xfId="0">
      <alignment horizontal="right"/>
    </xf>
    <xf numFmtId="165" fontId="23" fillId="0" borderId="2" applyAlignment="1" pivotButton="0" quotePrefix="0" xfId="0">
      <alignment horizontal="right"/>
    </xf>
    <xf numFmtId="3" fontId="10" fillId="0" borderId="1" applyAlignment="1" pivotButton="0" quotePrefix="0" xfId="0">
      <alignment horizontal="right"/>
    </xf>
    <xf numFmtId="9" fontId="24" fillId="0" borderId="1" applyAlignment="1" pivotButton="0" quotePrefix="0" xfId="0">
      <alignment horizontal="right"/>
    </xf>
    <xf numFmtId="0" fontId="9" fillId="0" borderId="1" pivotButton="0" quotePrefix="0" xfId="0"/>
    <xf numFmtId="166" fontId="10" fillId="0" borderId="1" applyAlignment="1" pivotButton="0" quotePrefix="0" xfId="0">
      <alignment horizontal="right"/>
    </xf>
    <xf numFmtId="166" fontId="25" fillId="4" borderId="2" applyAlignment="1" pivotButton="0" quotePrefix="0" xfId="0">
      <alignment horizontal="right"/>
    </xf>
    <xf numFmtId="0" fontId="11" fillId="0" borderId="1" pivotButton="0" quotePrefix="0" xfId="0"/>
    <xf numFmtId="167" fontId="26" fillId="0" borderId="1" applyAlignment="1" pivotButton="0" quotePrefix="0" xfId="0">
      <alignment horizontal="right"/>
    </xf>
    <xf numFmtId="168" fontId="24" fillId="0" borderId="1" applyAlignment="1" pivotButton="0" quotePrefix="0" xfId="0">
      <alignment horizontal="right"/>
    </xf>
    <xf numFmtId="0" fontId="27" fillId="3" borderId="1" pivotButton="0" quotePrefix="0" xfId="0"/>
    <xf numFmtId="0" fontId="28" fillId="3" borderId="1" pivotButton="0" quotePrefix="0" xfId="0"/>
    <xf numFmtId="0" fontId="29" fillId="0" borderId="1" pivotButton="0" quotePrefix="0" xfId="0"/>
    <xf numFmtId="0" fontId="30" fillId="0" borderId="1" pivotButton="0" quotePrefix="0" xfId="0"/>
    <xf numFmtId="0" fontId="31" fillId="0" borderId="1" pivotButton="0" quotePrefix="0" xfId="0"/>
    <xf numFmtId="166" fontId="32" fillId="0" borderId="1" pivotButton="0" quotePrefix="0" xfId="0"/>
    <xf numFmtId="166" fontId="33" fillId="0" borderId="1" pivotButton="0" quotePrefix="0" xfId="0"/>
    <xf numFmtId="0" fontId="28" fillId="0" borderId="2" pivotButton="0" quotePrefix="0" xfId="0"/>
    <xf numFmtId="166" fontId="34" fillId="0" borderId="2" pivotButton="0" quotePrefix="0" xfId="0"/>
    <xf numFmtId="166" fontId="23" fillId="0" borderId="2" applyAlignment="1" pivotButton="0" quotePrefix="0" xfId="0">
      <alignment horizontal="right"/>
    </xf>
    <xf numFmtId="0" fontId="12" fillId="0" borderId="1" pivotButton="0" quotePrefix="0" xfId="0"/>
    <xf numFmtId="168" fontId="23" fillId="0" borderId="1" applyAlignment="1" pivotButton="0" quotePrefix="0" xfId="0">
      <alignment horizontal="right"/>
    </xf>
    <xf numFmtId="166" fontId="22" fillId="8" borderId="1" applyAlignment="1" pivotButton="0" quotePrefix="0" xfId="0">
      <alignment horizontal="right"/>
    </xf>
    <xf numFmtId="166" fontId="8" fillId="0" borderId="1" applyAlignment="1" pivotButton="0" quotePrefix="0" xfId="0">
      <alignment horizontal="right"/>
    </xf>
    <xf numFmtId="0" fontId="10" fillId="0" borderId="1" pivotButton="0" quotePrefix="0" xfId="0"/>
    <xf numFmtId="0" fontId="13" fillId="5" borderId="1" pivotButton="0" quotePrefix="0" xfId="0"/>
    <xf numFmtId="0" fontId="12" fillId="6" borderId="1" pivotButton="0" quotePrefix="0" xfId="0"/>
    <xf numFmtId="0" fontId="14" fillId="4" borderId="1" pivotButton="0" quotePrefix="0" xfId="0"/>
    <xf numFmtId="0" fontId="15" fillId="0" borderId="1" pivotButton="0" quotePrefix="0" xfId="0"/>
    <xf numFmtId="0" fontId="16" fillId="6" borderId="1" pivotButton="0" quotePrefix="0" xfId="0"/>
    <xf numFmtId="0" fontId="5" fillId="2" borderId="1" pivotButton="0" quotePrefix="0" xfId="0"/>
    <xf numFmtId="165" fontId="7" fillId="0" borderId="1" applyAlignment="1" pivotButton="0" quotePrefix="0" xfId="0">
      <alignment horizontal="right"/>
    </xf>
    <xf numFmtId="0" fontId="7" fillId="0" borderId="1" applyAlignment="1" pivotButton="0" quotePrefix="0" xfId="0">
      <alignment horizontal="right"/>
    </xf>
    <xf numFmtId="3" fontId="7" fillId="0" borderId="1" applyAlignment="1" pivotButton="0" quotePrefix="0" xfId="0">
      <alignment horizontal="right"/>
    </xf>
    <xf numFmtId="0" fontId="17" fillId="3" borderId="1" pivotButton="0" quotePrefix="0" xfId="0"/>
    <xf numFmtId="0" fontId="10" fillId="6" borderId="1" pivotButton="0" quotePrefix="0" xfId="0"/>
    <xf numFmtId="0" fontId="18" fillId="7" borderId="1" pivotButton="0" quotePrefix="0" xfId="0"/>
    <xf numFmtId="0" fontId="3" fillId="0" borderId="1" applyAlignment="1" pivotButton="0" quotePrefix="0" xfId="0">
      <alignment horizontal="right"/>
    </xf>
    <xf numFmtId="0" fontId="35" fillId="3" borderId="1" pivotButton="0" quotePrefix="0" xfId="0"/>
    <xf numFmtId="3" fontId="0" fillId="0" borderId="1" pivotButton="0" quotePrefix="0" xfId="0"/>
    <xf numFmtId="0" fontId="37" fillId="0" borderId="1" applyAlignment="1" pivotButton="0" quotePrefix="0" xfId="0">
      <alignment horizontal="center"/>
    </xf>
    <xf numFmtId="3" fontId="37" fillId="0" borderId="1" applyAlignment="1" pivotButton="0" quotePrefix="0" xfId="0">
      <alignment horizontal="center"/>
    </xf>
    <xf numFmtId="9" fontId="37" fillId="0" borderId="1" applyAlignment="1" pivotButton="0" quotePrefix="0" xfId="1">
      <alignment horizontal="center"/>
    </xf>
    <xf numFmtId="0" fontId="38" fillId="0" borderId="1" applyAlignment="1" pivotButton="0" quotePrefix="0" xfId="0">
      <alignment horizontal="right"/>
    </xf>
    <xf numFmtId="9" fontId="38" fillId="0" borderId="1" applyAlignment="1" pivotButton="0" quotePrefix="0" xfId="1">
      <alignment horizontal="right"/>
    </xf>
    <xf numFmtId="3" fontId="37" fillId="0" borderId="1" applyAlignment="1" pivotButton="0" quotePrefix="0" xfId="0">
      <alignment horizontal="right"/>
    </xf>
    <xf numFmtId="9" fontId="38" fillId="0" borderId="1" applyAlignment="1" pivotButton="0" quotePrefix="0" xfId="0">
      <alignment horizontal="right"/>
    </xf>
    <xf numFmtId="165" fontId="37" fillId="0" borderId="1" applyAlignment="1" pivotButton="0" quotePrefix="0" xfId="0">
      <alignment horizontal="right"/>
    </xf>
    <xf numFmtId="165" fontId="31" fillId="9" borderId="1" applyAlignment="1" pivotButton="0" quotePrefix="0" xfId="0">
      <alignment horizontal="right"/>
    </xf>
    <xf numFmtId="9" fontId="0" fillId="0" borderId="1" pivotButton="0" quotePrefix="0" xfId="1"/>
    <xf numFmtId="0" fontId="0" fillId="0" borderId="0" pivotButton="0" quotePrefix="0" xfId="0"/>
    <xf numFmtId="0" fontId="39" fillId="0" borderId="0" pivotButton="0" quotePrefix="0" xfId="0"/>
    <xf numFmtId="0" fontId="40" fillId="0" borderId="0" pivotButton="0" quotePrefix="0" xfId="0"/>
    <xf numFmtId="0" fontId="41" fillId="10" borderId="0" pivotButton="0" quotePrefix="0" xfId="0"/>
    <xf numFmtId="0" fontId="42" fillId="0" borderId="0" pivotButton="0" quotePrefix="0" xfId="0"/>
    <xf numFmtId="0" fontId="43" fillId="11" borderId="0" pivotButton="0" quotePrefix="0" xfId="0"/>
    <xf numFmtId="0" fontId="0" fillId="11" borderId="0" pivotButton="0" quotePrefix="0" xfId="0"/>
    <xf numFmtId="0" fontId="43" fillId="11" borderId="0" applyAlignment="1" pivotButton="0" quotePrefix="0" xfId="0">
      <alignment horizontal="center"/>
    </xf>
    <xf numFmtId="0" fontId="43" fillId="15" borderId="0" applyAlignment="1" pivotButton="0" quotePrefix="0" xfId="0">
      <alignment horizontal="center"/>
    </xf>
    <xf numFmtId="0" fontId="46" fillId="16" borderId="0" pivotButton="0" quotePrefix="0" xfId="0"/>
    <xf numFmtId="0" fontId="0" fillId="16" borderId="0" pivotButton="0" quotePrefix="0" xfId="0"/>
    <xf numFmtId="0" fontId="47" fillId="0" borderId="0" pivotButton="0" quotePrefix="0" xfId="0"/>
    <xf numFmtId="3" fontId="48" fillId="0" borderId="0" applyAlignment="1" pivotButton="0" quotePrefix="0" xfId="0">
      <alignment horizontal="right"/>
    </xf>
    <xf numFmtId="3" fontId="49" fillId="17" borderId="0" applyAlignment="1" pivotButton="0" quotePrefix="0" xfId="0">
      <alignment horizontal="right"/>
    </xf>
    <xf numFmtId="0" fontId="48" fillId="0" borderId="0" applyAlignment="1" pivotButton="0" quotePrefix="0" xfId="0">
      <alignment horizontal="right"/>
    </xf>
    <xf numFmtId="0" fontId="49" fillId="17" borderId="0" applyAlignment="1" pivotButton="0" quotePrefix="0" xfId="0">
      <alignment horizontal="right"/>
    </xf>
    <xf numFmtId="9" fontId="48" fillId="0" borderId="0" applyAlignment="1" pivotButton="0" quotePrefix="0" xfId="0">
      <alignment horizontal="right"/>
    </xf>
    <xf numFmtId="9" fontId="49" fillId="17" borderId="0" applyAlignment="1" pivotButton="0" quotePrefix="0" xfId="0">
      <alignment horizontal="right"/>
    </xf>
    <xf numFmtId="0" fontId="51" fillId="0" borderId="0" pivotButton="0" quotePrefix="0" xfId="0"/>
    <xf numFmtId="0" fontId="50" fillId="18" borderId="0" pivotButton="0" quotePrefix="0" xfId="0"/>
    <xf numFmtId="0" fontId="52" fillId="0" borderId="0" pivotButton="0" quotePrefix="0" xfId="0"/>
    <xf numFmtId="0" fontId="50" fillId="3" borderId="1" pivotButton="0" quotePrefix="0" xfId="0"/>
    <xf numFmtId="3" fontId="49" fillId="8" borderId="1" applyAlignment="1" pivotButton="0" quotePrefix="0" xfId="0">
      <alignment horizontal="right"/>
    </xf>
    <xf numFmtId="3" fontId="22" fillId="18" borderId="1" applyAlignment="1" pivotButton="0" quotePrefix="0" xfId="0">
      <alignment horizontal="right"/>
    </xf>
    <xf numFmtId="0" fontId="50" fillId="0" borderId="1" pivotButton="0" quotePrefix="0" xfId="0"/>
    <xf numFmtId="9" fontId="49" fillId="8" borderId="1" applyAlignment="1" pivotButton="0" quotePrefix="0" xfId="0">
      <alignment horizontal="right"/>
    </xf>
    <xf numFmtId="3" fontId="49" fillId="8" borderId="2" applyAlignment="1" pivotButton="0" quotePrefix="0" xfId="0">
      <alignment horizontal="right"/>
    </xf>
    <xf numFmtId="166" fontId="49" fillId="8" borderId="1" applyAlignment="1" pivotButton="0" quotePrefix="0" xfId="0">
      <alignment horizontal="right"/>
    </xf>
    <xf numFmtId="4" fontId="0" fillId="0" borderId="0" pivotButton="0" quotePrefix="0" xfId="0"/>
    <xf numFmtId="0" fontId="0" fillId="0" borderId="0" pivotButton="0" quotePrefix="0" xfId="0"/>
    <xf numFmtId="0" fontId="0" fillId="0" borderId="1" pivotButton="0" quotePrefix="0" xfId="0"/>
    <xf numFmtId="10" fontId="36" fillId="0" borderId="1" pivotButton="0" quotePrefix="0" xfId="1"/>
    <xf numFmtId="10" fontId="0" fillId="0" borderId="1" pivotButton="0" quotePrefix="0" xfId="0"/>
    <xf numFmtId="166" fontId="0" fillId="0" borderId="1" pivotButton="0" quotePrefix="0" xfId="0"/>
    <xf numFmtId="0" fontId="44" fillId="12" borderId="0" applyAlignment="1" pivotButton="0" quotePrefix="0" xfId="0">
      <alignment horizontal="center"/>
    </xf>
    <xf numFmtId="0" fontId="0" fillId="0" borderId="0" pivotButton="0" quotePrefix="0" xfId="0"/>
    <xf numFmtId="0" fontId="44" fillId="14" borderId="0" applyAlignment="1" pivotButton="0" quotePrefix="0" xfId="0">
      <alignment horizontal="center"/>
    </xf>
    <xf numFmtId="0" fontId="44" fillId="15" borderId="0" applyAlignment="1" pivotButton="0" quotePrefix="0" xfId="0">
      <alignment horizontal="center"/>
    </xf>
    <xf numFmtId="0" fontId="45" fillId="13" borderId="0" applyAlignment="1" pivotButton="0" quotePrefix="0" xfId="0">
      <alignment horizontal="center"/>
    </xf>
    <xf numFmtId="0" fontId="44" fillId="12" borderId="1" applyAlignment="1" pivotButton="0" quotePrefix="0" xfId="0">
      <alignment horizontal="center"/>
    </xf>
    <xf numFmtId="0" fontId="45" fillId="13" borderId="1" applyAlignment="1" pivotButton="0" quotePrefix="0" xfId="0">
      <alignment horizontal="center"/>
    </xf>
    <xf numFmtId="0" fontId="44" fillId="14" borderId="1" applyAlignment="1" pivotButton="0" quotePrefix="0" xfId="0">
      <alignment horizontal="center"/>
    </xf>
    <xf numFmtId="0" fontId="44" fillId="15" borderId="1" applyAlignment="1" pivotButton="0" quotePrefix="0" xfId="0">
      <alignment horizontal="center"/>
    </xf>
    <xf numFmtId="0" fontId="53" fillId="0" borderId="0" pivotButton="0" quotePrefix="0" xfId="0"/>
    <xf numFmtId="0" fontId="54" fillId="0" borderId="0" pivotButton="0" quotePrefix="0" xfId="0"/>
    <xf numFmtId="0" fontId="55" fillId="0" borderId="0" pivotButton="0" quotePrefix="0" xfId="0"/>
    <xf numFmtId="0" fontId="56" fillId="19" borderId="0" pivotButton="0" quotePrefix="0" xfId="0"/>
    <xf numFmtId="0" fontId="57" fillId="19" borderId="0" applyAlignment="1" pivotButton="0" quotePrefix="0" xfId="0">
      <alignment vertical="top" wrapText="1"/>
    </xf>
    <xf numFmtId="0" fontId="57" fillId="0" borderId="0" pivotButton="0" quotePrefix="0" xfId="0"/>
    <xf numFmtId="0" fontId="56" fillId="20" borderId="0" pivotButton="0" quotePrefix="0" xfId="0"/>
    <xf numFmtId="0" fontId="57" fillId="20" borderId="0" applyAlignment="1" pivotButton="0" quotePrefix="0" xfId="0">
      <alignment vertical="top" wrapText="1"/>
    </xf>
    <xf numFmtId="0" fontId="56" fillId="0" borderId="0" pivotButton="0" quotePrefix="0" xfId="0"/>
    <xf numFmtId="0" fontId="54" fillId="0" borderId="0" applyAlignment="1" pivotButton="0" quotePrefix="0" xfId="0">
      <alignment vertical="top" wrapText="1"/>
    </xf>
    <xf numFmtId="0" fontId="56" fillId="21" borderId="0" pivotButton="0" quotePrefix="0" xfId="0"/>
    <xf numFmtId="0" fontId="57" fillId="21" borderId="0" applyAlignment="1" pivotButton="0" quotePrefix="0" xfId="0">
      <alignment vertical="top" wrapText="1"/>
    </xf>
    <xf numFmtId="0" fontId="57" fillId="0" borderId="0" applyAlignment="1" pivotButton="0" quotePrefix="0" xfId="0">
      <alignment vertical="top" wrapText="1"/>
    </xf>
    <xf numFmtId="0" fontId="58" fillId="22" borderId="0" applyAlignment="1" pivotButton="0" quotePrefix="0" xfId="0">
      <alignment horizontal="left" vertical="center"/>
    </xf>
    <xf numFmtId="0" fontId="56" fillId="21" borderId="0" applyAlignment="1" pivotButton="0" quotePrefix="0" xfId="0">
      <alignment vertical="top" wrapText="1"/>
    </xf>
    <xf numFmtId="0" fontId="59" fillId="21" borderId="0" applyAlignment="1" pivotButton="0" quotePrefix="0" xfId="0">
      <alignment vertical="top" wrapText="1"/>
    </xf>
    <xf numFmtId="0" fontId="59" fillId="19" borderId="0" applyAlignment="1" pivotButton="0" quotePrefix="0" xfId="0">
      <alignment vertical="top" wrapText="1"/>
    </xf>
  </cellXfs>
  <cellStyles count="2">
    <cellStyle name="Normal" xfId="0" builtinId="0"/>
    <cellStyle name="Percent" xfId="1" builtinId="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styles" Target="styles.xml" Id="rId13"/><Relationship Type="http://schemas.openxmlformats.org/officeDocument/2006/relationships/theme" Target="theme/theme1.xml" Id="rId14"/></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pPr>
              <a:defRPr/>
            </a:pPr>
            <a:r>
              <a:rPr lang="en-US"/>
              <a:t>Revenue Trajectory ($M)</a:t>
            </a:r>
          </a:p>
        </rich>
      </tx>
      <overlay val="0"/>
      <spPr>
        <a:noFill xmlns:a="http://schemas.openxmlformats.org/drawingml/2006/main"/>
        <a:ln xmlns:a="http://schemas.openxmlformats.org/drawingml/2006/main">
          <a:noFill/>
          <a:prstDash val="solid"/>
        </a:ln>
      </spPr>
    </title>
    <plotArea>
      <layout/>
      <barChart>
        <barDir val="col"/>
        <grouping val="clustered"/>
        <varyColors val="0"/>
        <ser>
          <idx val="0"/>
          <order val="0"/>
          <tx>
            <strRef>
              <f>'Charts (Deck-Ready)'!$C$6</f>
              <strCache>
                <ptCount val="1"/>
                <pt idx="0">
                  <v>Revenue ($M)</v>
                </pt>
              </strCache>
            </strRef>
          </tx>
          <spPr>
            <a:solidFill xmlns:a="http://schemas.openxmlformats.org/drawingml/2006/main">
              <a:srgbClr val="5ABFB3"/>
            </a:solidFill>
            <a:ln xmlns:a="http://schemas.openxmlformats.org/drawingml/2006/main">
              <a:prstDash val="solid"/>
            </a:ln>
          </spPr>
          <invertIfNegative val="0"/>
          <cat>
            <strRef>
              <f>'Charts (Deck-Ready)'!$B$7:$B$14</f>
              <strCache>
                <ptCount val="8"/>
                <pt idx="0">
                  <v>2026</v>
                </pt>
                <pt idx="1">
                  <v>2027</v>
                </pt>
                <pt idx="2">
                  <v>2028</v>
                </pt>
                <pt idx="3">
                  <v>2029</v>
                </pt>
                <pt idx="4">
                  <v>2030</v>
                </pt>
                <pt idx="5">
                  <v>2031</v>
                </pt>
                <pt idx="6">
                  <v>2032</v>
                </pt>
                <pt idx="7">
                  <v>2033</v>
                </pt>
              </strCache>
            </strRef>
          </cat>
          <val>
            <numRef>
              <f>'Charts (Deck-Ready)'!$C$7:$C$14</f>
              <numCache>
                <formatCode>\$#,##0.0</formatCode>
                <ptCount val="8"/>
                <pt idx="0">
                  <v>1.53364136</v>
                </pt>
                <pt idx="1">
                  <v>9.293239523137256</v>
                </pt>
                <pt idx="2">
                  <v>31.26220455890411</v>
                </pt>
                <pt idx="3">
                  <v>88.47638600000001</v>
                </pt>
                <pt idx="4">
                  <v>216.862992</v>
                </pt>
                <pt idx="5">
                  <v>444.4915999999999</v>
                </pt>
                <pt idx="6">
                  <v>802.36324</v>
                </pt>
                <pt idx="7">
                  <v>1148.98286</v>
                </pt>
              </numCache>
            </numRef>
          </val>
        </ser>
        <dLbls>
          <showLegendKey val="0"/>
          <showVal val="0"/>
          <showCatName val="0"/>
          <showSerName val="0"/>
          <showPercent val="0"/>
          <showBubbleSize val="0"/>
        </dLbls>
        <gapWidth val="150"/>
        <axId val="43004524"/>
        <axId val="97435018"/>
      </barChart>
      <catAx>
        <axId val="43004524"/>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97435018"/>
        <crosses val="autoZero"/>
        <auto val="0"/>
        <lblAlgn val="ctr"/>
        <lblOffset val="100"/>
        <tickMarkSkip val="1"/>
        <noMultiLvlLbl val="1"/>
      </catAx>
      <valAx>
        <axId val="97435018"/>
        <scaling>
          <orientation val="minMax"/>
        </scaling>
        <delete val="0"/>
        <axPos val="l"/>
        <title>
          <tx>
            <rich>
              <a:bodyPr xmlns:a="http://schemas.openxmlformats.org/drawingml/2006/main"/>
              <a:lstStyle xmlns:a="http://schemas.openxmlformats.org/drawingml/2006/main"/>
              <a:p xmlns:a="http://schemas.openxmlformats.org/drawingml/2006/main">
                <a:pPr>
                  <a:defRPr/>
                </a:pPr>
                <a:r>
                  <a:rPr lang="en-US"/>
                  <a:t>$M</a:t>
                </a:r>
              </a:p>
            </rich>
          </tx>
          <overlay val="0"/>
        </title>
        <numFmt formatCode="\$#,##0.0"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43004524"/>
        <crosses val="autoZero"/>
        <crossBetween val="between"/>
      </valAx>
    </plotArea>
    <legend>
      <legendPos val="r"/>
      <overlay val="0"/>
      <spPr>
        <a:noFill xmlns:a="http://schemas.openxmlformats.org/drawingml/2006/main"/>
        <a:ln xmlns:a="http://schemas.openxmlformats.org/drawingml/2006/main">
          <a:prstDash val="solid"/>
        </a:ln>
      </spPr>
      <txPr>
        <a:bodyPr xmlns:a="http://schemas.openxmlformats.org/drawingml/2006/main"/>
        <a:lstStyle xmlns:a="http://schemas.openxmlformats.org/drawingml/2006/main"/>
        <a:p xmlns:a="http://schemas.openxmlformats.org/drawingml/2006/main">
          <a:pPr>
            <a:defRPr/>
          </a:pPr>
          <a:r>
            <a:t>None</a:t>
          </a:r>
          <a:endParaRPr lang="en-US"/>
        </a:p>
      </txPr>
    </legend>
    <plotVisOnly val="1"/>
    <dispBlanksAs val="gap"/>
  </chart>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pPr>
              <a:defRPr/>
            </a:pPr>
            <a:r>
              <a:rPr lang="en-US"/>
              <a:t>Revenue Mix (% of Total)</a:t>
            </a:r>
          </a:p>
        </rich>
      </tx>
      <overlay val="0"/>
      <spPr>
        <a:noFill xmlns:a="http://schemas.openxmlformats.org/drawingml/2006/main"/>
        <a:ln xmlns:a="http://schemas.openxmlformats.org/drawingml/2006/main">
          <a:noFill/>
          <a:prstDash val="solid"/>
        </a:ln>
      </spPr>
    </title>
    <plotArea>
      <layout/>
      <barChart>
        <barDir val="col"/>
        <grouping val="stacked"/>
        <varyColors val="0"/>
        <ser>
          <idx val="0"/>
          <order val="0"/>
          <tx>
            <strRef>
              <f>'Charts (Deck-Ready)'!$C$18</f>
              <strCache>
                <ptCount val="1"/>
                <pt idx="0">
                  <v>Hardware %</v>
                </pt>
              </strCache>
            </strRef>
          </tx>
          <spPr>
            <a:solidFill xmlns:a="http://schemas.openxmlformats.org/drawingml/2006/main">
              <a:srgbClr val="3A9E92"/>
            </a:solidFill>
            <a:ln xmlns:a="http://schemas.openxmlformats.org/drawingml/2006/main">
              <a:prstDash val="solid"/>
            </a:ln>
          </spPr>
          <invertIfNegative val="0"/>
          <cat>
            <strRef>
              <f>'Charts (Deck-Ready)'!$B$19:$B$26</f>
              <strCache>
                <ptCount val="8"/>
                <pt idx="0">
                  <v>2026</v>
                </pt>
                <pt idx="1">
                  <v>2027</v>
                </pt>
                <pt idx="2">
                  <v>2028</v>
                </pt>
                <pt idx="3">
                  <v>2029</v>
                </pt>
                <pt idx="4">
                  <v>2030</v>
                </pt>
                <pt idx="5">
                  <v>2031</v>
                </pt>
                <pt idx="6">
                  <v>2032</v>
                </pt>
                <pt idx="7">
                  <v>2033</v>
                </pt>
              </strCache>
            </strRef>
          </cat>
          <val>
            <numRef>
              <f>'Charts (Deck-Ready)'!$C$19:$C$26</f>
              <numCache>
                <formatCode>#,##0</formatCode>
                <ptCount val="8"/>
                <pt idx="0">
                  <v>57.05375603589616</v>
                </pt>
                <pt idx="1">
                  <v>52.42098657856044</v>
                </pt>
                <pt idx="2">
                  <v>43.59708840502157</v>
                </pt>
                <pt idx="3">
                  <v>35.2229576827426</v>
                </pt>
                <pt idx="4">
                  <v>30.27072502993042</v>
                </pt>
                <pt idx="5">
                  <v>26.01376493953992</v>
                </pt>
                <pt idx="6">
                  <v>22.29077693040873</v>
                </pt>
                <pt idx="7">
                  <v>19.33214216964037</v>
                </pt>
              </numCache>
            </numRef>
          </val>
        </ser>
        <ser>
          <idx val="1"/>
          <order val="1"/>
          <tx>
            <strRef>
              <f>'Charts (Deck-Ready)'!$D$18</f>
              <strCache>
                <ptCount val="1"/>
                <pt idx="0">
                  <v>Cons+CPG %</v>
                </pt>
              </strCache>
            </strRef>
          </tx>
          <spPr>
            <a:solidFill xmlns:a="http://schemas.openxmlformats.org/drawingml/2006/main">
              <a:srgbClr val="5ABFB3"/>
            </a:solidFill>
            <a:ln xmlns:a="http://schemas.openxmlformats.org/drawingml/2006/main">
              <a:prstDash val="solid"/>
            </a:ln>
          </spPr>
          <invertIfNegative val="0"/>
          <cat>
            <strRef>
              <f>'Charts (Deck-Ready)'!$B$19:$B$26</f>
              <strCache>
                <ptCount val="8"/>
                <pt idx="0">
                  <v>2026</v>
                </pt>
                <pt idx="1">
                  <v>2027</v>
                </pt>
                <pt idx="2">
                  <v>2028</v>
                </pt>
                <pt idx="3">
                  <v>2029</v>
                </pt>
                <pt idx="4">
                  <v>2030</v>
                </pt>
                <pt idx="5">
                  <v>2031</v>
                </pt>
                <pt idx="6">
                  <v>2032</v>
                </pt>
                <pt idx="7">
                  <v>2033</v>
                </pt>
              </strCache>
            </strRef>
          </cat>
          <val>
            <numRef>
              <f>'Charts (Deck-Ready)'!$D$19:$D$26</f>
              <numCache>
                <formatCode>#,##0</formatCode>
                <ptCount val="8"/>
                <pt idx="0">
                  <v>37.10124249648562</v>
                </pt>
                <pt idx="1">
                  <v>36.95718798002699</v>
                </pt>
                <pt idx="2">
                  <v>39.93985765294889</v>
                </pt>
                <pt idx="3">
                  <v>41.6873446887851</v>
                </pt>
                <pt idx="4">
                  <v>41.73615754595878</v>
                </pt>
                <pt idx="5">
                  <v>40.82366460918497</v>
                </pt>
                <pt idx="6">
                  <v>39.35751194184818</v>
                </pt>
                <pt idx="7">
                  <v>41.32982279648628</v>
                </pt>
              </numCache>
            </numRef>
          </val>
        </ser>
        <ser>
          <idx val="2"/>
          <order val="2"/>
          <tx>
            <strRef>
              <f>'Charts (Deck-Ready)'!$E$18</f>
              <strCache>
                <ptCount val="1"/>
                <pt idx="0">
                  <v>Digital+IP %</v>
                </pt>
              </strCache>
            </strRef>
          </tx>
          <spPr>
            <a:solidFill xmlns:a="http://schemas.openxmlformats.org/drawingml/2006/main">
              <a:srgbClr val="F9CA24"/>
            </a:solidFill>
            <a:ln xmlns:a="http://schemas.openxmlformats.org/drawingml/2006/main">
              <a:prstDash val="solid"/>
            </a:ln>
          </spPr>
          <invertIfNegative val="0"/>
          <cat>
            <strRef>
              <f>'Charts (Deck-Ready)'!$B$19:$B$26</f>
              <strCache>
                <ptCount val="8"/>
                <pt idx="0">
                  <v>2026</v>
                </pt>
                <pt idx="1">
                  <v>2027</v>
                </pt>
                <pt idx="2">
                  <v>2028</v>
                </pt>
                <pt idx="3">
                  <v>2029</v>
                </pt>
                <pt idx="4">
                  <v>2030</v>
                </pt>
                <pt idx="5">
                  <v>2031</v>
                </pt>
                <pt idx="6">
                  <v>2032</v>
                </pt>
                <pt idx="7">
                  <v>2033</v>
                </pt>
              </strCache>
            </strRef>
          </cat>
          <val>
            <numRef>
              <f>'Charts (Deck-Ready)'!$E$19:$E$26</f>
              <numCache>
                <formatCode>#,##0</formatCode>
                <ptCount val="8"/>
                <pt idx="0">
                  <v>5.845001467618218</v>
                </pt>
                <pt idx="1">
                  <v>10.62182544141256</v>
                </pt>
                <pt idx="2">
                  <v>16.46305394202953</v>
                </pt>
                <pt idx="3">
                  <v>23.0896976284723</v>
                </pt>
                <pt idx="4">
                  <v>27.9931174241108</v>
                </pt>
                <pt idx="5">
                  <v>33.16257045127512</v>
                </pt>
                <pt idx="6">
                  <v>38.35171112774309</v>
                </pt>
                <pt idx="7">
                  <v>39.33803503387335</v>
                </pt>
              </numCache>
            </numRef>
          </val>
        </ser>
        <dLbls>
          <showLegendKey val="0"/>
          <showVal val="0"/>
          <showCatName val="0"/>
          <showSerName val="0"/>
          <showPercent val="0"/>
          <showBubbleSize val="0"/>
        </dLbls>
        <gapWidth val="150"/>
        <axId val="12553329"/>
        <axId val="84857441"/>
      </barChart>
      <catAx>
        <axId val="12553329"/>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84857441"/>
        <crosses val="autoZero"/>
        <auto val="0"/>
        <lblAlgn val="ctr"/>
        <lblOffset val="100"/>
        <tickMarkSkip val="1"/>
        <noMultiLvlLbl val="1"/>
      </catAx>
      <valAx>
        <axId val="84857441"/>
        <scaling>
          <orientation val="minMax"/>
        </scaling>
        <delete val="0"/>
        <axPos val="l"/>
        <numFmt formatCode="#,##0"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12553329"/>
        <crosses val="autoZero"/>
        <crossBetween val="between"/>
      </valAx>
    </plotArea>
    <legend>
      <legendPos val="r"/>
      <overlay val="0"/>
      <spPr>
        <a:noFill xmlns:a="http://schemas.openxmlformats.org/drawingml/2006/main"/>
        <a:ln xmlns:a="http://schemas.openxmlformats.org/drawingml/2006/main">
          <a:prstDash val="solid"/>
        </a:ln>
      </spPr>
      <txPr>
        <a:bodyPr xmlns:a="http://schemas.openxmlformats.org/drawingml/2006/main"/>
        <a:lstStyle xmlns:a="http://schemas.openxmlformats.org/drawingml/2006/main"/>
        <a:p xmlns:a="http://schemas.openxmlformats.org/drawingml/2006/main">
          <a:pPr>
            <a:defRPr/>
          </a:pPr>
          <a:r>
            <a:t>None</a:t>
          </a:r>
          <a:endParaRPr lang="en-US"/>
        </a:p>
      </txPr>
    </legend>
    <plotVisOnly val="1"/>
    <dispBlanksAs val="gap"/>
  </chart>
</chartSpace>
</file>

<file path=xl/charts/chart3.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pPr>
              <a:defRPr/>
            </a:pPr>
            <a:r>
              <a:rPr lang="en-US"/>
              <a:t>EBITDA ($M)</a:t>
            </a:r>
          </a:p>
        </rich>
      </tx>
      <overlay val="0"/>
      <spPr>
        <a:noFill xmlns:a="http://schemas.openxmlformats.org/drawingml/2006/main"/>
        <a:ln xmlns:a="http://schemas.openxmlformats.org/drawingml/2006/main">
          <a:noFill/>
          <a:prstDash val="solid"/>
        </a:ln>
      </spPr>
    </title>
    <plotArea>
      <layout/>
      <barChart>
        <barDir val="col"/>
        <grouping val="clustered"/>
        <varyColors val="0"/>
        <ser>
          <idx val="0"/>
          <order val="0"/>
          <tx>
            <strRef>
              <f>'Charts (Deck-Ready)'!$C$30</f>
              <strCache>
                <ptCount val="1"/>
                <pt idx="0">
                  <v>EBITDA ($M)</v>
                </pt>
              </strCache>
            </strRef>
          </tx>
          <spPr>
            <a:solidFill xmlns:a="http://schemas.openxmlformats.org/drawingml/2006/main">
              <a:srgbClr val="5ABFB3"/>
            </a:solidFill>
            <a:ln xmlns:a="http://schemas.openxmlformats.org/drawingml/2006/main">
              <a:prstDash val="solid"/>
            </a:ln>
          </spPr>
          <invertIfNegative val="0"/>
          <cat>
            <strRef>
              <f>'Charts (Deck-Ready)'!$B$31:$B$38</f>
              <strCache>
                <ptCount val="8"/>
                <pt idx="0">
                  <v>2026</v>
                </pt>
                <pt idx="1">
                  <v>2027</v>
                </pt>
                <pt idx="2">
                  <v>2028</v>
                </pt>
                <pt idx="3">
                  <v>2029</v>
                </pt>
                <pt idx="4">
                  <v>2030</v>
                </pt>
                <pt idx="5">
                  <v>2031</v>
                </pt>
                <pt idx="6">
                  <v>2032</v>
                </pt>
                <pt idx="7">
                  <v>2033</v>
                </pt>
              </strCache>
            </strRef>
          </cat>
          <val>
            <numRef>
              <f>'Charts (Deck-Ready)'!$C$31:$C$38</f>
              <numCache>
                <formatCode>\$#,##0.0</formatCode>
                <ptCount val="8"/>
                <pt idx="0">
                  <v>-0.8045727759999999</v>
                </pt>
                <pt idx="1">
                  <v>-1.038776742901961</v>
                </pt>
                <pt idx="2">
                  <v>0.6014642947945176</v>
                </pt>
                <pt idx="3">
                  <v>15.87158500000001</v>
                </pt>
                <pt idx="4">
                  <v>57.9066608</v>
                </pt>
                <pt idx="5">
                  <v>144.392256</v>
                </pt>
                <pt idx="6">
                  <v>290.7572728</v>
                </pt>
                <pt idx="7">
                  <v>425.5215820000001</v>
                </pt>
              </numCache>
            </numRef>
          </val>
        </ser>
        <dLbls>
          <showLegendKey val="0"/>
          <showVal val="0"/>
          <showCatName val="0"/>
          <showSerName val="0"/>
          <showPercent val="0"/>
          <showBubbleSize val="0"/>
        </dLbls>
        <gapWidth val="150"/>
        <axId val="28378404"/>
        <axId val="53290080"/>
      </barChart>
      <catAx>
        <axId val="28378404"/>
        <scaling>
          <orientation val="minMax"/>
        </scaling>
        <delete val="0"/>
        <axPos val="b"/>
        <numFmt formatCode="General"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53290080"/>
        <crosses val="autoZero"/>
        <auto val="0"/>
        <lblAlgn val="ctr"/>
        <lblOffset val="100"/>
        <tickMarkSkip val="1"/>
        <noMultiLvlLbl val="1"/>
      </catAx>
      <valAx>
        <axId val="53290080"/>
        <scaling>
          <orientation val="minMax"/>
        </scaling>
        <delete val="0"/>
        <axPos val="l"/>
        <numFmt formatCode="\$#,##0.0" sourceLinked="1"/>
        <majorTickMark val="none"/>
        <minorTickMark val="none"/>
        <tickLblPos val="nextTo"/>
        <spPr>
          <a:noFill xmlns:a="http://schemas.openxmlformats.org/drawingml/2006/main"/>
          <a:ln xmlns:a="http://schemas.openxmlformats.org/drawingml/2006/main" w="9525" cap="flat" cmpd="sng">
            <a:solidFill>
              <a:schemeClr val="tx1">
                <a:lumMod val="15000"/>
                <a:lumOff val="85000"/>
              </a:schemeClr>
            </a:solidFill>
            <a:prstDash val="solid"/>
            <a:round/>
          </a:ln>
        </spPr>
        <txPr>
          <a:bodyPr xmlns:a="http://schemas.openxmlformats.org/drawingml/2006/main"/>
          <a:lstStyle xmlns:a="http://schemas.openxmlformats.org/drawingml/2006/main"/>
          <a:p xmlns:a="http://schemas.openxmlformats.org/drawingml/2006/main">
            <a:pPr>
              <a:defRPr/>
            </a:pPr>
            <a:r>
              <a:t>None</a:t>
            </a:r>
            <a:endParaRPr lang="en-US"/>
          </a:p>
        </txPr>
        <crossAx val="28378404"/>
        <crosses val="autoZero"/>
        <crossBetween val="between"/>
      </valAx>
    </plotArea>
    <legend>
      <legendPos val="r"/>
      <overlay val="0"/>
      <spPr>
        <a:noFill xmlns:a="http://schemas.openxmlformats.org/drawingml/2006/main"/>
        <a:ln xmlns:a="http://schemas.openxmlformats.org/drawingml/2006/main">
          <a:prstDash val="solid"/>
        </a:ln>
      </spPr>
      <txPr>
        <a:bodyPr xmlns:a="http://schemas.openxmlformats.org/drawingml/2006/main"/>
        <a:lstStyle xmlns:a="http://schemas.openxmlformats.org/drawingml/2006/main"/>
        <a:p xmlns:a="http://schemas.openxmlformats.org/drawingml/2006/main">
          <a:pPr>
            <a:defRPr/>
          </a:pPr>
          <a:r>
            <a:t>None</a:t>
          </a:r>
          <a:endParaRPr lang="en-US"/>
        </a:p>
      </txP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twoCellAnchor editAs="oneCell">
    <from>
      <col>6</col>
      <colOff>194734</colOff>
      <row>3</row>
      <rowOff>186267</rowOff>
    </from>
    <to>
      <col>16</col>
      <colOff>578734</colOff>
      <row>24</row>
      <rowOff>120201</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oneCell">
    <from>
      <col>6</col>
      <colOff>194733</colOff>
      <row>24</row>
      <rowOff>110066</rowOff>
    </from>
    <to>
      <col>16</col>
      <colOff>578733</colOff>
      <row>44</row>
      <rowOff>52467</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editAs="oneCell">
    <from>
      <col>6</col>
      <colOff>194733</colOff>
      <row>44</row>
      <rowOff>59266</rowOff>
    </from>
    <to>
      <col>16</col>
      <colOff>578733</colOff>
      <row>62</row>
      <rowOff>103266</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tabColor rgb="004D8580"/>
    <outlinePr summaryBelow="1" summaryRight="1"/>
    <pageSetUpPr/>
  </sheetPr>
  <dimension ref="B2:C40"/>
  <sheetViews>
    <sheetView showGridLines="0" workbookViewId="0">
      <selection activeCell="A1" sqref="A1"/>
    </sheetView>
  </sheetViews>
  <sheetFormatPr baseColWidth="8" defaultRowHeight="15"/>
  <cols>
    <col width="3" customWidth="1" style="103" min="1" max="1"/>
    <col width="45" customWidth="1" style="103" min="2" max="2"/>
    <col width="70" customWidth="1" style="103" min="3" max="3"/>
    <col width="5" customWidth="1" style="103" min="4" max="4"/>
  </cols>
  <sheetData>
    <row r="2">
      <c r="B2" s="111" t="inlineStr">
        <is>
          <t>PREEMADONNA FINANCIAL MODEL</t>
        </is>
      </c>
    </row>
    <row r="3">
      <c r="B3" s="112" t="inlineStr">
        <is>
          <t>Read this first. Then go to Scenario Control.</t>
        </is>
      </c>
    </row>
    <row r="5">
      <c r="B5" s="113" t="inlineStr">
        <is>
          <t>PHASE LANGUAGE (matches investor site and teaser)</t>
        </is>
      </c>
    </row>
    <row r="6" ht="38" customHeight="1" s="103">
      <c r="B6" s="114" t="inlineStr">
        <is>
          <t>Year 1 (2026)</t>
        </is>
      </c>
      <c r="C6" s="115" t="inlineStr">
        <is>
          <t>2.0 Launch  ·  125-unit Community Drop + standalone consumables + brand activations + waitlist build</t>
        </is>
      </c>
    </row>
    <row r="7" ht="38" customHeight="1" s="103">
      <c r="B7" s="114" t="inlineStr">
        <is>
          <t>Years 2–3 (2027–2028)</t>
        </is>
      </c>
      <c r="C7" s="115" t="inlineStr">
        <is>
          <t>2.0 Scale  ·  Volume hardware ramp. 15K to 25K Nailbot 2.0 units. $3M to $9M run-rate forecasted.</t>
        </is>
      </c>
    </row>
    <row r="8" ht="38" customHeight="1" s="103">
      <c r="B8" s="114" t="inlineStr">
        <is>
          <t>Years 4–8 (2029+)</t>
        </is>
      </c>
      <c r="C8" s="115" t="inlineStr">
        <is>
          <t>Beyond  ·  Nailbot 3.0 mass market, Inkbot body art, 8 device categories, international, recurring revenue compounds.</t>
        </is>
      </c>
    </row>
    <row r="10">
      <c r="B10" s="113" t="inlineStr">
        <is>
          <t>THE 125-UNIT COMMUNITY DROP</t>
        </is>
      </c>
    </row>
    <row r="11">
      <c r="B11" s="116" t="inlineStr">
        <is>
          <t>2.0 Launch (Year 1) ships the first commercial cohort in three tiers:</t>
        </is>
      </c>
    </row>
    <row r="12" ht="30" customHeight="1" s="103">
      <c r="B12" s="117" t="inlineStr">
        <is>
          <t>5 NBCU-approved commercial units</t>
        </is>
      </c>
      <c r="C12" s="118" t="inlineStr">
        <is>
          <t>Highest validation tier. NBCU brand approval process. Proves the partnership delivery.</t>
        </is>
      </c>
    </row>
    <row r="13" ht="30" customHeight="1" s="103">
      <c r="B13" s="117" t="inlineStr">
        <is>
          <t>20 commercial co-brand testers</t>
        </is>
      </c>
      <c r="C13" s="118" t="inlineStr">
        <is>
          <t>Mid-tier. Extends the commercial cohort. Seeds retail conversations.</t>
        </is>
      </c>
    </row>
    <row r="14" ht="38" customHeight="1" s="103">
      <c r="B14" s="117" t="inlineStr">
        <is>
          <t>100 community testers</t>
        </is>
      </c>
      <c r="C14" s="118" t="inlineStr">
        <is>
          <t>Broad. Preemadonna + Nailbot branding. Real-world data, edge cases, customer feedback. De-risks volume ramp.</t>
        </is>
      </c>
    </row>
    <row r="15" ht="28" customHeight="1" s="103">
      <c r="B15" s="119" t="inlineStr">
        <is>
          <t>TOTAL: 125 units (5 + 20 + 100)</t>
        </is>
      </c>
      <c r="C15" s="120" t="inlineStr">
        <is>
          <t>Reconciles to Scenario Control: NB 2.0 own brand Y1 = 100, Licensed Partner Co-Brand Y1 = 25</t>
        </is>
      </c>
    </row>
    <row r="17">
      <c r="B17" s="113" t="inlineStr">
        <is>
          <t>SCENARIOS</t>
        </is>
      </c>
    </row>
    <row r="18">
      <c r="B18" s="116" t="inlineStr">
        <is>
          <t>Toggle in cell C3 of the Scenario Control tab. Default: Conservative.</t>
        </is>
      </c>
    </row>
    <row r="19" ht="55" customHeight="1" s="103">
      <c r="B19" s="121" t="inlineStr">
        <is>
          <t>CONSERVATIVE (default)</t>
        </is>
      </c>
      <c r="C19" s="122" t="inlineStr">
        <is>
          <t>Base case used on the site and teaser. Y1 hardware = 125-unit Community Drop. Y1 revenue ~$700K (low-to-mid six figures). Y2 ramp to ~$3M to $9M run-rate. Cricut-comparable trajectory in Years 4-8 but conservative S&amp;M assumptions.</t>
        </is>
      </c>
    </row>
    <row r="20" ht="55" customHeight="1" s="103">
      <c r="B20" s="121" t="inlineStr">
        <is>
          <t>MODERATE</t>
        </is>
      </c>
      <c r="C20" s="122" t="inlineStr">
        <is>
          <t>Mid-case. Y1 ~$1.5M total revenue (faster commercial cohort). Y2 ~$9M run-rate. Y8 reaches ~$1.5B revenue.</t>
        </is>
      </c>
    </row>
    <row r="21" ht="55" customHeight="1" s="103">
      <c r="B21" s="121" t="inlineStr">
        <is>
          <t>AGGRESSIVE</t>
        </is>
      </c>
      <c r="C21" s="122" t="inlineStr">
        <is>
          <t>Upside scenario at full execution. Y1 ~$1.8M. Y8 reaches ~$1.5B+ revenue. Assumes accelerated waitlist conversion, faster international expansion, patent licensing revenue stream pulls in.</t>
        </is>
      </c>
    </row>
    <row r="23">
      <c r="B23" s="113" t="inlineStr">
        <is>
          <t>UNIT ECONOMICS (consistent across all scenarios)</t>
        </is>
      </c>
    </row>
    <row r="24">
      <c r="B24" s="116" t="inlineStr">
        <is>
          <t>Hardware gross margin</t>
        </is>
      </c>
      <c r="C24" s="116" t="inlineStr">
        <is>
          <t>34% to 38% (improving with volume)</t>
        </is>
      </c>
    </row>
    <row r="25">
      <c r="B25" s="116" t="inlineStr">
        <is>
          <t>Standalone CPG gross margin</t>
        </is>
      </c>
      <c r="C25" s="116" t="inlineStr">
        <is>
          <t>55%</t>
        </is>
      </c>
    </row>
    <row r="26">
      <c r="B26" s="116" t="inlineStr">
        <is>
          <t>Hardware consumables (refills) gross margin</t>
        </is>
      </c>
      <c r="C26" s="116" t="inlineStr">
        <is>
          <t>50%</t>
        </is>
      </c>
    </row>
    <row r="27">
      <c r="B27" s="116" t="inlineStr">
        <is>
          <t>Digital, subs, premium content gross margin</t>
        </is>
      </c>
      <c r="C27" s="116" t="inlineStr">
        <is>
          <t>~89%</t>
        </is>
      </c>
    </row>
    <row r="28">
      <c r="B28" s="116" t="inlineStr">
        <is>
          <t>Licensed activations gross margin</t>
        </is>
      </c>
      <c r="C28" s="116" t="inlineStr">
        <is>
          <t>48%</t>
        </is>
      </c>
    </row>
    <row r="29">
      <c r="B29" s="116" t="inlineStr">
        <is>
          <t>Patent licensing gross margin</t>
        </is>
      </c>
      <c r="C29" s="116" t="inlineStr">
        <is>
          <t>95% (upside optionality)</t>
        </is>
      </c>
    </row>
    <row r="31">
      <c r="B31" s="113" t="inlineStr">
        <is>
          <t>HOW TO USE THIS MODEL</t>
        </is>
      </c>
    </row>
    <row r="32">
      <c r="B32" s="119" t="inlineStr">
        <is>
          <t>1. Read this tab.</t>
        </is>
      </c>
      <c r="C32" s="123" t="inlineStr">
        <is>
          <t>Phase labels, scenario logic, and unit economics.</t>
        </is>
      </c>
    </row>
    <row r="33">
      <c r="B33" s="119" t="inlineStr">
        <is>
          <t>2. Open Scenario Control.</t>
        </is>
      </c>
      <c r="C33" s="123" t="inlineStr">
        <is>
          <t>Toggle cell C3 to switch the entire model. All other tabs recalculate.</t>
        </is>
      </c>
    </row>
    <row r="34">
      <c r="B34" s="119" t="inlineStr">
        <is>
          <t>3. Skim Charts (Deck-Ready).</t>
        </is>
      </c>
      <c r="C34" s="123" t="inlineStr">
        <is>
          <t>Visual summary suitable for partner conversations.</t>
        </is>
      </c>
    </row>
    <row r="35">
      <c r="B35" s="119" t="inlineStr">
        <is>
          <t>4. Drill into Full P&amp;L.</t>
        </is>
      </c>
      <c r="C35" s="123" t="inlineStr">
        <is>
          <t>8-year revenue, COGS, OpEx, EBITDA, Net Income, mix shift.</t>
        </is>
      </c>
    </row>
    <row r="36">
      <c r="B36" s="119" t="inlineStr">
        <is>
          <t>5. Stress-test in Reality Check.</t>
        </is>
      </c>
      <c r="C36" s="123" t="inlineStr">
        <is>
          <t>Scorecard of every number against external comps (Cricut, Instax, etc.).</t>
        </is>
      </c>
    </row>
    <row r="37">
      <c r="B37" s="119" t="inlineStr">
        <is>
          <t>6. See Changes Log.</t>
        </is>
      </c>
      <c r="C37" s="123" t="inlineStr">
        <is>
          <t>Documented diffs from previous model version.</t>
        </is>
      </c>
    </row>
    <row r="39">
      <c r="B39" s="113" t="inlineStr">
        <is>
          <t>DISCLAIMER</t>
        </is>
      </c>
    </row>
    <row r="40" ht="80" customHeight="1" s="103">
      <c r="B40" s="120" t="inlineStr">
        <is>
          <t>This model is confidential and shared only with prospective investors under the SAFE described in the Pre-Series A teaser. It contains forward-looking statements that are estimates based on information available as of the date posted. Actual results may differ materially. Past performance and pilot data are not guarantees of future results. This is not an offer to sell securities. Any investment is made solely under definitive transaction documents.</t>
        </is>
      </c>
    </row>
  </sheetData>
  <mergeCells count="10">
    <mergeCell ref="B39:C39"/>
    <mergeCell ref="B2:C2"/>
    <mergeCell ref="B11:C11"/>
    <mergeCell ref="B5:C5"/>
    <mergeCell ref="B10:C10"/>
    <mergeCell ref="B23:C23"/>
    <mergeCell ref="B31:C31"/>
    <mergeCell ref="B40:C40"/>
    <mergeCell ref="B18:C18"/>
    <mergeCell ref="B17:C17"/>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B2:K41"/>
  <sheetViews>
    <sheetView showGridLines="0" workbookViewId="0">
      <selection activeCell="A1" sqref="A1"/>
    </sheetView>
  </sheetViews>
  <sheetFormatPr baseColWidth="8" defaultColWidth="9.109375" defaultRowHeight="15" customHeight="1"/>
  <cols>
    <col width="5" customWidth="1" style="103" min="1" max="1"/>
    <col width="28.5546875" customWidth="1" style="103" min="2" max="2"/>
    <col width="20" customWidth="1" style="103" min="3" max="3"/>
    <col width="14" customWidth="1" style="103" min="4" max="11"/>
  </cols>
  <sheetData>
    <row r="2" ht="15" customHeight="1" s="103">
      <c r="B2" s="1" t="inlineStr">
        <is>
          <t>IP PORTFOLIO + ART INFRASTRUCTURE LICENSING</t>
        </is>
      </c>
    </row>
    <row r="3" ht="15" customHeight="1" s="103">
      <c r="B3" s="2" t="inlineStr">
        <is>
          <t>10 utility patents today. Art Infrastructure IP = infrastructure play for smart beauty.</t>
        </is>
      </c>
    </row>
    <row r="5" ht="15" customHeight="1" s="103">
      <c r="B5" s="3" t="inlineStr">
        <is>
          <t>CURRENT IP PORTFOLIO</t>
        </is>
      </c>
      <c r="C5" s="4" t="n"/>
      <c r="D5" s="4" t="n"/>
      <c r="E5" s="4" t="n"/>
      <c r="F5" s="4" t="n"/>
      <c r="G5" s="4" t="n"/>
      <c r="H5" s="4" t="n"/>
      <c r="I5" s="4" t="n"/>
      <c r="J5" s="4" t="n"/>
      <c r="K5" s="4" t="n"/>
    </row>
    <row r="6" ht="15" customHeight="1" s="103">
      <c r="B6" s="48" t="inlineStr">
        <is>
          <t>Category</t>
        </is>
      </c>
      <c r="C6" s="48" t="inlineStr">
        <is>
          <t>Count</t>
        </is>
      </c>
      <c r="D6" s="48" t="inlineStr">
        <is>
          <t>Detail</t>
        </is>
      </c>
    </row>
    <row r="7" ht="15" customHeight="1" s="103">
      <c r="B7" s="6" t="inlineStr">
        <is>
          <t>Utility Patents</t>
        </is>
      </c>
      <c r="C7" s="6" t="inlineStr">
        <is>
          <t>10</t>
        </is>
      </c>
      <c r="D7" s="6" t="inlineStr">
        <is>
          <t>Apparatus, systems, methods for nail/body printing (US, UK, CA, EU)</t>
        </is>
      </c>
    </row>
    <row r="8" ht="15" customHeight="1" s="103">
      <c r="B8" s="6" t="inlineStr">
        <is>
          <t>Design Patents</t>
        </is>
      </c>
      <c r="C8" s="6" t="inlineStr">
        <is>
          <t>0</t>
        </is>
      </c>
      <c r="D8" s="6" t="inlineStr">
        <is>
          <t>Future filings planned</t>
        </is>
      </c>
    </row>
    <row r="9" ht="15" customHeight="1" s="103">
      <c r="B9" s="6" t="inlineStr">
        <is>
          <t>Trademarks</t>
        </is>
      </c>
      <c r="C9" s="6" t="inlineStr">
        <is>
          <t>5 US registrations</t>
        </is>
      </c>
      <c r="D9" s="6" t="inlineStr">
        <is>
          <t>"Preemadonna" &amp; "Nailbot" — Classes 3 &amp; 9</t>
        </is>
      </c>
    </row>
    <row r="10" ht="15" customHeight="1" s="103">
      <c r="B10" s="6" t="inlineStr">
        <is>
          <t>Pending Applications</t>
        </is>
      </c>
      <c r="C10" s="6" t="inlineStr">
        <is>
          <t>1+</t>
        </is>
      </c>
      <c r="D10" s="6" t="inlineStr">
        <is>
          <t>Polish Maker systems + additional filings</t>
        </is>
      </c>
    </row>
    <row r="11" ht="15" customHeight="1" s="103">
      <c r="B11" s="6" t="inlineStr">
        <is>
          <t>Art Infrastructure IP</t>
        </is>
      </c>
      <c r="C11" s="6" t="inlineStr">
        <is>
          <t>Provisional</t>
        </is>
      </c>
      <c r="D11" s="6" t="inlineStr">
        <is>
          <t>Multi-substrate art layer — details under NDA</t>
        </is>
      </c>
    </row>
    <row r="14" ht="15" customHeight="1" s="103">
      <c r="B14" s="3" t="inlineStr">
        <is>
          <t>ART INFRASTRUCTURE IP — STRATEGIC VALUE</t>
        </is>
      </c>
      <c r="C14" s="4" t="n"/>
      <c r="D14" s="4" t="n"/>
      <c r="E14" s="4" t="n"/>
      <c r="F14" s="4" t="n"/>
      <c r="G14" s="4" t="n"/>
      <c r="H14" s="4" t="n"/>
      <c r="I14" s="4" t="n"/>
      <c r="J14" s="4" t="n"/>
      <c r="K14" s="4" t="n"/>
    </row>
    <row r="15" ht="15" customHeight="1" s="103">
      <c r="B15" s="13" t="inlineStr">
        <is>
          <t>WHAT IT IS:</t>
        </is>
      </c>
    </row>
    <row r="16" ht="15" customHeight="1" s="103">
      <c r="B16" s="6" t="inlineStr">
        <is>
          <t xml:space="preserve">  Proprietary IP covering art layer infrastructure across multiple printing substrates.</t>
        </is>
      </c>
    </row>
    <row r="17" ht="15" customHeight="1" s="103">
      <c r="B17" s="6" t="inlineStr">
        <is>
          <t xml:space="preserve">  System-level integration: hardware × software × consumables × materials science.</t>
        </is>
      </c>
    </row>
    <row r="18" ht="15" customHeight="1" s="103">
      <c r="B18" s="6" t="inlineStr">
        <is>
          <t xml:space="preserve">  (Detailed scope and claims available under NDA.)</t>
        </is>
      </c>
    </row>
    <row r="19" ht="15" customHeight="1" s="103">
      <c r="B19" s="6" t="n"/>
    </row>
    <row r="20" ht="15" customHeight="1" s="103">
      <c r="B20" s="13" t="inlineStr">
        <is>
          <t>WHY IT MATTERS:</t>
        </is>
      </c>
    </row>
    <row r="21" ht="15" customHeight="1" s="103">
      <c r="B21" s="6" t="inlineStr">
        <is>
          <t xml:space="preserve">  Most companies entering smart beauty touch one layer (hardware OR software OR materials).</t>
        </is>
      </c>
    </row>
    <row r="22" ht="15" customHeight="1" s="103">
      <c r="B22" s="6" t="inlineStr">
        <is>
          <t xml:space="preserve">  Our IP covers the system-level intersections where these layers connect.</t>
        </is>
      </c>
    </row>
    <row r="23" ht="15" customHeight="1" s="103">
      <c r="B23" s="6" t="inlineStr">
        <is>
          <t xml:space="preserve">  As the smart beauty category emerges, entrants will need this infrastructure layer.</t>
        </is>
      </c>
    </row>
    <row r="24" ht="15" customHeight="1" s="103">
      <c r="B24" s="6" t="n"/>
    </row>
    <row r="25" ht="15" customHeight="1" s="103">
      <c r="B25" s="13" t="inlineStr">
        <is>
          <t>THE LICENSING MODEL:</t>
        </is>
      </c>
    </row>
    <row r="26" ht="15" customHeight="1" s="103">
      <c r="B26" s="6" t="inlineStr">
        <is>
          <t xml:space="preserve">  Think: Qualcomm for smart beauty.</t>
        </is>
      </c>
    </row>
    <row r="27" ht="15" customHeight="1" s="103">
      <c r="B27" s="6" t="inlineStr">
        <is>
          <t xml:space="preserve">  Qualcomm doesn't make phones — they own wireless infrastructure IP.</t>
        </is>
      </c>
    </row>
    <row r="28" ht="15" customHeight="1" s="103">
      <c r="B28" s="6" t="inlineStr">
        <is>
          <t xml:space="preserve">  Every phone maker licenses from Qualcomm.</t>
        </is>
      </c>
    </row>
    <row r="29" ht="15" customHeight="1" s="103">
      <c r="B29" s="6" t="inlineStr">
        <is>
          <t xml:space="preserve">  As smart beauty devices proliferate, we own the art layer.</t>
        </is>
      </c>
    </row>
    <row r="30" ht="15" customHeight="1" s="103">
      <c r="B30" s="6" t="inlineStr">
        <is>
          <t xml:space="preserve">  Licensing begins 2029, scales with category growth.</t>
        </is>
      </c>
    </row>
    <row r="31" ht="15" customHeight="1" s="103">
      <c r="B31" s="6" t="n"/>
    </row>
    <row r="32" ht="15" customHeight="1" s="103">
      <c r="B32" s="13" t="inlineStr">
        <is>
          <t>REVENUE PROJECTION:</t>
        </is>
      </c>
    </row>
    <row r="33" ht="15" customHeight="1" s="103">
      <c r="B33" s="6" t="n"/>
      <c r="D33" s="14" t="inlineStr">
        <is>
          <t>2026</t>
        </is>
      </c>
      <c r="E33" s="14" t="inlineStr">
        <is>
          <t>2027</t>
        </is>
      </c>
      <c r="F33" s="14" t="inlineStr">
        <is>
          <t>2028</t>
        </is>
      </c>
      <c r="G33" s="14" t="inlineStr">
        <is>
          <t>2029</t>
        </is>
      </c>
      <c r="H33" s="14" t="inlineStr">
        <is>
          <t>2030</t>
        </is>
      </c>
      <c r="I33" s="14" t="inlineStr">
        <is>
          <t>2031</t>
        </is>
      </c>
      <c r="J33" s="14" t="inlineStr">
        <is>
          <t>2032</t>
        </is>
      </c>
      <c r="K33" s="14" t="inlineStr">
        <is>
          <t>2033</t>
        </is>
      </c>
    </row>
    <row r="34" ht="15" customHeight="1" s="103">
      <c r="B34" s="6" t="inlineStr">
        <is>
          <t>Patent Licensing Rev ($K)</t>
        </is>
      </c>
      <c r="D34" s="49" t="n">
        <v>0</v>
      </c>
      <c r="E34" s="49" t="n">
        <v>0</v>
      </c>
      <c r="F34" s="49" t="n">
        <v>0</v>
      </c>
      <c r="G34" s="49" t="n">
        <v>200</v>
      </c>
      <c r="H34" s="49" t="n">
        <v>1500</v>
      </c>
      <c r="I34" s="49" t="n">
        <v>5000</v>
      </c>
      <c r="J34" s="49" t="n">
        <v>12000</v>
      </c>
      <c r="K34" s="49" t="n">
        <v>25000</v>
      </c>
    </row>
    <row r="35" ht="15" customHeight="1" s="103">
      <c r="B35" s="6" t="inlineStr">
        <is>
          <t>Est. Licensees</t>
        </is>
      </c>
      <c r="D35" s="50" t="n">
        <v>0</v>
      </c>
      <c r="E35" s="50" t="n">
        <v>0</v>
      </c>
      <c r="F35" s="50" t="n">
        <v>0</v>
      </c>
      <c r="G35" s="50" t="n">
        <v>1</v>
      </c>
      <c r="H35" s="50" t="n">
        <v>3</v>
      </c>
      <c r="I35" s="50" t="n">
        <v>8</v>
      </c>
      <c r="J35" s="50" t="n">
        <v>15</v>
      </c>
      <c r="K35" s="50" t="n">
        <v>25</v>
      </c>
    </row>
    <row r="36" ht="15" customHeight="1" s="103">
      <c r="B36" s="6" t="n"/>
    </row>
    <row r="37" ht="15" customHeight="1" s="103">
      <c r="B37" s="6" t="n"/>
    </row>
    <row r="38" ht="15" customHeight="1" s="103">
      <c r="B38" s="13" t="n"/>
    </row>
    <row r="39" ht="15" customHeight="1" s="103">
      <c r="B39" s="6" t="n"/>
      <c r="C39" s="15" t="n"/>
      <c r="D39" s="49" t="n"/>
      <c r="E39" s="49" t="n"/>
      <c r="F39" s="49" t="n"/>
      <c r="G39" s="49" t="n"/>
      <c r="H39" s="49" t="n"/>
      <c r="I39" s="49" t="n"/>
      <c r="J39" s="49" t="n"/>
      <c r="K39" s="49" t="n"/>
    </row>
    <row r="40" ht="15" customHeight="1" s="103">
      <c r="B40" s="6" t="n"/>
      <c r="C40" s="15" t="n"/>
      <c r="D40" s="51" t="n"/>
      <c r="E40" s="51" t="n"/>
      <c r="F40" s="51" t="n"/>
      <c r="G40" s="51" t="n"/>
      <c r="H40" s="51" t="n"/>
      <c r="I40" s="51" t="n"/>
      <c r="J40" s="51" t="n"/>
      <c r="K40" s="51" t="n"/>
    </row>
    <row r="41" ht="15" customHeight="1" s="103">
      <c r="B41" s="6" t="n"/>
      <c r="C41" s="15" t="n"/>
      <c r="D41" s="49" t="n"/>
      <c r="E41" s="49" t="n"/>
      <c r="F41" s="49" t="n"/>
      <c r="G41" s="49" t="n"/>
      <c r="H41" s="49" t="n"/>
      <c r="I41" s="49" t="n"/>
      <c r="J41" s="49" t="n"/>
      <c r="K41" s="49" t="n"/>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11.xml><?xml version="1.0" encoding="utf-8"?>
<worksheet xmlns="http://schemas.openxmlformats.org/spreadsheetml/2006/main">
  <sheetPr>
    <outlinePr summaryBelow="1" summaryRight="1"/>
    <pageSetUpPr/>
  </sheetPr>
  <dimension ref="B2:E67"/>
  <sheetViews>
    <sheetView showGridLines="0" workbookViewId="0">
      <selection activeCell="A1" sqref="A1"/>
    </sheetView>
  </sheetViews>
  <sheetFormatPr baseColWidth="8" defaultColWidth="9.109375" defaultRowHeight="15" customHeight="1"/>
  <cols>
    <col width="5" customWidth="1" style="103" min="1" max="1"/>
    <col width="47.44140625" customWidth="1" style="103" min="2" max="2"/>
    <col width="22" customWidth="1" style="103" min="3" max="3"/>
    <col width="40" customWidth="1" style="103" min="4" max="4"/>
    <col width="55" customWidth="1" style="103" min="5" max="5"/>
  </cols>
  <sheetData>
    <row r="2" ht="15" customHeight="1" s="103">
      <c r="B2" s="1" t="inlineStr">
        <is>
          <t>WHERE WE PLAY: TAM, SAM &amp; SOM</t>
        </is>
      </c>
    </row>
    <row r="3" ht="15" customHeight="1" s="103">
      <c r="B3" s="2" t="inlineStr">
        <is>
          <t>Market sizing with model-grounded SOM. Sources: Grand View Research, Strategic Market Research, Statista.</t>
        </is>
      </c>
    </row>
    <row r="5" ht="15" customHeight="1" s="103">
      <c r="B5" s="3" t="inlineStr">
        <is>
          <t>Ring 5: CATEGORY OPPORTUNITY</t>
        </is>
      </c>
      <c r="C5" s="52" t="inlineStr">
        <is>
          <t>~$108B by 2030</t>
        </is>
      </c>
      <c r="D5" s="4" t="n"/>
      <c r="E5" s="4" t="n"/>
    </row>
    <row r="6" ht="15" customHeight="1" s="103">
      <c r="B6" s="6" t="inlineStr">
        <is>
          <t>Combined global market: nail care + at-home beauty devices + personal expression + temp tattoo + body art.</t>
        </is>
      </c>
    </row>
    <row r="7" ht="15" customHeight="1" s="103">
      <c r="B7" s="6" t="inlineStr">
        <is>
          <t>This is the universe Preemadonna's platform is designed to expand into.</t>
        </is>
      </c>
    </row>
    <row r="8" ht="15" customHeight="1" s="103">
      <c r="B8" s="15" t="inlineStr">
        <is>
          <t>Sources: Grand View Research ($14.6B nail care), Statista (beauty devices), Strategic Market Research (temp tattoo $2.5B)</t>
        </is>
      </c>
    </row>
    <row r="10" ht="15" customHeight="1" s="103">
      <c r="B10" s="3" t="inlineStr">
        <is>
          <t>Ring 4: TOTAL ADDRESSABLE MARKET (TAM)</t>
        </is>
      </c>
      <c r="C10" s="52" t="inlineStr">
        <is>
          <t>~$25B by 2030</t>
        </is>
      </c>
      <c r="D10" s="4" t="n"/>
      <c r="E10" s="4" t="n"/>
    </row>
    <row r="11" ht="15" customHeight="1" s="103">
      <c r="B11" s="6" t="inlineStr">
        <is>
          <t>Global nail care ($14.6B) + temp tattoo/body art ($2.5B) + at-home beauty devices ($8B).</t>
        </is>
      </c>
    </row>
    <row r="12" ht="15" customHeight="1" s="103">
      <c r="B12" s="6" t="inlineStr">
        <is>
          <t>Core categories where Preemadonna operates or has clear product roadmap.</t>
        </is>
      </c>
    </row>
    <row r="13" ht="15" customHeight="1" s="103">
      <c r="B13" s="15" t="inlineStr">
        <is>
          <t>High repeat usage, consumable-driven, growing at-home personalization trend.</t>
        </is>
      </c>
    </row>
    <row r="15" ht="15" customHeight="1" s="103">
      <c r="B15" s="3" t="inlineStr">
        <is>
          <t>Ring 3: SERVICEABLE AVAILABLE MARKET (SAM)</t>
        </is>
      </c>
      <c r="C15" s="52" t="inlineStr">
        <is>
          <t>~$8-10B</t>
        </is>
      </c>
      <c r="D15" s="4" t="n"/>
      <c r="E15" s="4" t="n"/>
    </row>
    <row r="16" ht="15" customHeight="1" s="103">
      <c r="B16" s="6" t="inlineStr">
        <is>
          <t>At-home, digitally-enabled, personalization-driven consumers across nail + body art.</t>
        </is>
      </c>
    </row>
    <row r="17" ht="15" customHeight="1" s="103">
      <c r="B17" s="6" t="inlineStr">
        <is>
          <t>Excludes: salon-only spend, professional services, non-digital/non-personalized products.</t>
        </is>
      </c>
    </row>
    <row r="18" ht="15" customHeight="1" s="103">
      <c r="B18" s="15" t="inlineStr">
        <is>
          <t>This is the market addressable with connected devices + software + consumables.</t>
        </is>
      </c>
    </row>
    <row r="20" ht="15" customHeight="1" s="103">
      <c r="B20" s="3" t="inlineStr">
        <is>
          <t>Ring 2: SERVICEABLE OBTAINABLE MARKET (SOM)</t>
        </is>
      </c>
      <c r="C20" s="52" t="inlineStr">
        <is>
          <t>~$1-2B at Platform Scale</t>
        </is>
      </c>
      <c r="D20" s="4" t="n"/>
      <c r="E20" s="4" t="n"/>
    </row>
    <row r="21" ht="15" customHeight="1" s="103">
      <c r="B21" s="6" t="inlineStr">
        <is>
          <t>2-4M active devices globally × ~$500 blended annual revenue per user.</t>
        </is>
      </c>
    </row>
    <row r="22" ht="15" customHeight="1" s="103">
      <c r="B22" s="6" t="inlineStr">
        <is>
          <t>Revenue per user: hardware amortized + consumables ($44/yr) + subscriptions ($120/yr) + CPG + digital.</t>
        </is>
      </c>
    </row>
    <row r="23" ht="15" customHeight="1" s="103">
      <c r="B23" s="15" t="inlineStr">
        <is>
          <t>Our model shows $1.14B at 11M installed base with 66% active rate = 7.3M active users.</t>
        </is>
      </c>
    </row>
    <row r="25" ht="15" customHeight="1" s="103">
      <c r="B25" s="3" t="inlineStr">
        <is>
          <t>Ring 1: BEACHHEAD: U.S. NAIL ART</t>
        </is>
      </c>
      <c r="C25" s="52" t="inlineStr">
        <is>
          <t>~$50-75M Near-Term</t>
        </is>
      </c>
      <c r="D25" s="4" t="n"/>
      <c r="E25" s="4" t="n"/>
    </row>
    <row r="26" ht="15" customHeight="1" s="103">
      <c r="B26" s="6" t="inlineStr">
        <is>
          <t>150K+ devices in market generating recurring revenue.</t>
        </is>
      </c>
    </row>
    <row r="27" ht="15" customHeight="1" s="103">
      <c r="B27" s="6" t="inlineStr">
        <is>
          <t>Hardware + consumables + kits + press-ons + digital content at $350-500 blended annual rev/user.</t>
        </is>
      </c>
    </row>
    <row r="28" ht="15" customHeight="1" s="103">
      <c r="B28" s="15" t="inlineStr">
        <is>
          <t>Proven product, proven demand, defined distribution. Everything above scales from here.</t>
        </is>
      </c>
    </row>
    <row r="31" ht="15" customHeight="1" s="103">
      <c r="B31" s="3" t="inlineStr">
        <is>
          <t>MODEL-GROUNDED SOM VALIDATION</t>
        </is>
      </c>
      <c r="C31" s="4" t="n"/>
      <c r="D31" s="4" t="n"/>
      <c r="E31" s="4" t="n"/>
    </row>
    <row r="32" ht="15" customHeight="1" s="103">
      <c r="B32" s="48" t="inlineStr">
        <is>
          <t>Metric</t>
        </is>
      </c>
      <c r="C32" s="48" t="inlineStr">
        <is>
          <t>Model Y8 (2033)</t>
        </is>
      </c>
      <c r="D32" s="48" t="inlineStr">
        <is>
          <t>SOM Implies</t>
        </is>
      </c>
      <c r="E32" s="48" t="inlineStr">
        <is>
          <t>Check</t>
        </is>
      </c>
    </row>
    <row r="33" ht="15" customHeight="1" s="103">
      <c r="B33" s="6" t="inlineStr">
        <is>
          <t>Installed Base</t>
        </is>
      </c>
      <c r="C33" s="6" t="inlineStr">
        <is>
          <t>11M devices</t>
        </is>
      </c>
      <c r="D33" s="6" t="inlineStr">
        <is>
          <t>2-4M active needed</t>
        </is>
      </c>
      <c r="E33" s="53" t="inlineStr">
        <is>
          <t>✓ 7.3M active (66% of 11M) exceeds SOM range</t>
        </is>
      </c>
    </row>
    <row r="34" ht="15" customHeight="1" s="103">
      <c r="B34" s="6" t="inlineStr">
        <is>
          <t>Annual Rev / Active User</t>
        </is>
      </c>
      <c r="C34" s="6" t="inlineStr">
        <is>
          <t>~$156</t>
        </is>
      </c>
      <c r="D34" s="6" t="inlineStr">
        <is>
          <t>$350-500 blended</t>
        </is>
      </c>
      <c r="E34" s="54" t="inlineStr">
        <is>
          <t>⚠ Model is conservative on per-user — room to grow</t>
        </is>
      </c>
    </row>
    <row r="35" ht="15" customHeight="1" s="103">
      <c r="B35" s="6" t="inlineStr">
        <is>
          <t>Total Revenue</t>
        </is>
      </c>
      <c r="C35" s="6" t="inlineStr">
        <is>
          <t>$1.14B</t>
        </is>
      </c>
      <c r="D35" s="6" t="inlineStr">
        <is>
          <t>$1-2B SOM range</t>
        </is>
      </c>
      <c r="E35" s="53" t="inlineStr">
        <is>
          <t>✓ Lands within SOM range</t>
        </is>
      </c>
    </row>
    <row r="36" ht="15" customHeight="1" s="103">
      <c r="B36" s="6" t="inlineStr">
        <is>
          <t>US vs INTL</t>
        </is>
      </c>
      <c r="C36" s="6" t="inlineStr">
        <is>
          <t>62% / 38%</t>
        </is>
      </c>
      <c r="D36" s="6" t="inlineStr">
        <is>
          <t>N/A</t>
        </is>
      </c>
      <c r="E36" s="53" t="inlineStr">
        <is>
          <t>✓ US-heavy early, INTL growing via partner</t>
        </is>
      </c>
    </row>
    <row r="37" ht="15" customHeight="1" s="103">
      <c r="B37" s="6" t="inlineStr">
        <is>
          <t>Recurring %</t>
        </is>
      </c>
      <c r="C37" s="6" t="inlineStr">
        <is>
          <t>65%</t>
        </is>
      </c>
      <c r="D37" s="6" t="inlineStr">
        <is>
          <t>High recurring expected</t>
        </is>
      </c>
      <c r="E37" s="53" t="inlineStr">
        <is>
          <t>✓ Subs + consumables = 65% recurring by Y8</t>
        </is>
      </c>
    </row>
    <row r="38" ht="15" customHeight="1" s="103">
      <c r="B38" s="6" t="inlineStr">
        <is>
          <t>Paid Subscribers</t>
        </is>
      </c>
      <c r="C38" s="6" t="inlineStr">
        <is>
          <t>2.7M</t>
        </is>
      </c>
      <c r="D38" s="6" t="inlineStr">
        <is>
          <t>2-4M active devices</t>
        </is>
      </c>
      <c r="E38" s="53" t="inlineStr">
        <is>
          <t>✓ Sub base tracks installed base</t>
        </is>
      </c>
    </row>
    <row r="39" ht="15" customHeight="1" s="103">
      <c r="B39" s="6" t="inlineStr">
        <is>
          <t>Market Share of SAM</t>
        </is>
      </c>
      <c r="C39" s="6" t="inlineStr">
        <is>
          <t>~12-14%</t>
        </is>
      </c>
      <c r="D39" s="6" t="inlineStr">
        <is>
          <t>Reasonable at scale</t>
        </is>
      </c>
      <c r="E39" s="53" t="inlineStr">
        <is>
          <t>✓ Not winner-take-all, category creator share</t>
        </is>
      </c>
    </row>
    <row r="42" ht="15" customHeight="1" s="103">
      <c r="B42" s="3" t="inlineStr">
        <is>
          <t>ANNUAL REVENUE PER ACTIVE USER BREAKDOWN (Y8)</t>
        </is>
      </c>
      <c r="C42" s="4" t="n"/>
      <c r="D42" s="4" t="n"/>
      <c r="E42" s="4" t="n"/>
    </row>
    <row r="43" ht="15" customHeight="1" s="103">
      <c r="B43" s="48" t="inlineStr">
        <is>
          <t>Revenue Source</t>
        </is>
      </c>
      <c r="C43" s="48" t="inlineStr">
        <is>
          <t>$/Active User/Yr</t>
        </is>
      </c>
      <c r="D43" s="48" t="inlineStr">
        <is>
          <t>How Calculated</t>
        </is>
      </c>
      <c r="E43" s="48" t="inlineStr">
        <is>
          <t>Notes</t>
        </is>
      </c>
    </row>
    <row r="44" ht="15" customHeight="1" s="103">
      <c r="B44" s="6" t="inlineStr">
        <is>
          <t>HW Consumables (ink, primer, etc)</t>
        </is>
      </c>
      <c r="C44" s="6" t="inlineStr">
        <is>
          <t>$45</t>
        </is>
      </c>
      <c r="D44" s="6" t="inlineStr">
        <is>
          <t>$329M / 7.26M active</t>
        </is>
      </c>
      <c r="E44" s="6" t="inlineStr">
        <is>
          <t>Cricut ~$53. Conservative.</t>
        </is>
      </c>
    </row>
    <row r="45" ht="15" customHeight="1" s="103">
      <c r="B45" s="6" t="inlineStr">
        <is>
          <t>Standalone CPG (Inklish, pens, polish)</t>
        </is>
      </c>
      <c r="C45" s="6" t="inlineStr">
        <is>
          <t>$24</t>
        </is>
      </c>
      <c r="D45" s="6" t="inlineStr">
        <is>
          <t>$171M / 7.26M active</t>
        </is>
      </c>
      <c r="E45" s="6" t="inlineStr">
        <is>
          <t>Not all users buy CPG — many are non-HW buyers</t>
        </is>
      </c>
    </row>
    <row r="46" ht="15" customHeight="1" s="103">
      <c r="B46" s="6" t="inlineStr">
        <is>
          <t>Subscriptions</t>
        </is>
      </c>
      <c r="C46" s="6" t="inlineStr">
        <is>
          <t>$51</t>
        </is>
      </c>
      <c r="D46" s="6" t="inlineStr">
        <is>
          <t>$370M / 7.26M active</t>
        </is>
      </c>
      <c r="E46" s="6" t="inlineStr">
        <is>
          <t>$9.99-19.99/mo for 2.7M paid subs</t>
        </is>
      </c>
    </row>
    <row r="47" ht="15" customHeight="1" s="103">
      <c r="B47" s="6" t="inlineStr">
        <is>
          <t>PayPacks + Credits</t>
        </is>
      </c>
      <c r="C47" s="6" t="inlineStr">
        <is>
          <t>$7</t>
        </is>
      </c>
      <c r="D47" s="6" t="inlineStr">
        <is>
          <t>$51M / 7.26M active</t>
        </is>
      </c>
      <c r="E47" s="6" t="inlineStr">
        <is>
          <t>Micro-transactions</t>
        </is>
      </c>
    </row>
    <row r="48" ht="15" customHeight="1" s="103">
      <c r="B48" s="6" t="inlineStr">
        <is>
          <t>Licensed + Activations</t>
        </is>
      </c>
      <c r="C48" s="6" t="inlineStr">
        <is>
          <t>$8</t>
        </is>
      </c>
      <c r="D48" s="6" t="inlineStr">
        <is>
          <t>$58M / 7.26M active</t>
        </is>
      </c>
      <c r="E48" s="6" t="inlineStr">
        <is>
          <t>B2B, not user-driven</t>
        </is>
      </c>
    </row>
    <row r="49" ht="15" customHeight="1" s="103">
      <c r="B49" s="6" t="inlineStr">
        <is>
          <t>Patent Licensing</t>
        </is>
      </c>
      <c r="C49" s="6" t="inlineStr">
        <is>
          <t>$3</t>
        </is>
      </c>
      <c r="D49" s="6" t="inlineStr">
        <is>
          <t>$25M / 7.26M active</t>
        </is>
      </c>
      <c r="E49" s="6" t="inlineStr">
        <is>
          <t>B2B licensing, not user-driven</t>
        </is>
      </c>
    </row>
    <row r="50" ht="15" customHeight="1" s="103">
      <c r="B50" s="6" t="n"/>
      <c r="C50" s="6" t="n"/>
      <c r="D50" s="6" t="n"/>
      <c r="E50" s="6" t="n"/>
    </row>
    <row r="51" ht="15" customHeight="1" s="103">
      <c r="B51" s="13" t="inlineStr">
        <is>
          <t>TOTAL PER ACTIVE USER</t>
        </is>
      </c>
      <c r="C51" s="13" t="inlineStr">
        <is>
          <t>~$157</t>
        </is>
      </c>
      <c r="D51" s="13" t="n"/>
      <c r="E51" s="13" t="inlineStr">
        <is>
          <t>Revenue from USERS is ~$120. Rest is B2B/licensing.</t>
        </is>
      </c>
    </row>
    <row r="52" ht="15" customHeight="1" s="103">
      <c r="B52" s="6" t="n"/>
      <c r="C52" s="6" t="n"/>
      <c r="D52" s="6" t="n"/>
      <c r="E52" s="6" t="n"/>
    </row>
    <row r="53" ht="15" customHeight="1" s="103">
      <c r="B53" s="13" t="inlineStr">
        <is>
          <t>SOM's "$500/user" INCLUDES:</t>
        </is>
      </c>
      <c r="C53" s="13" t="n"/>
      <c r="D53" s="13" t="n"/>
      <c r="E53" s="13" t="n"/>
    </row>
    <row r="54" ht="15" customHeight="1" s="103">
      <c r="B54" s="6" t="inlineStr">
        <is>
          <t xml:space="preserve">  Hardware purchase (amortized)</t>
        </is>
      </c>
      <c r="C54" s="6" t="inlineStr">
        <is>
          <t>~$60-80</t>
        </is>
      </c>
      <c r="D54" s="6" t="inlineStr">
        <is>
          <t>Device cost / 3-yr life</t>
        </is>
      </c>
      <c r="E54" s="6" t="inlineStr">
        <is>
          <t>SOM counts hardware sale in blended</t>
        </is>
      </c>
    </row>
    <row r="55" ht="15" customHeight="1" s="103">
      <c r="B55" s="6" t="inlineStr">
        <is>
          <t xml:space="preserve">  Full CPG (inc. non-device users)</t>
        </is>
      </c>
      <c r="C55" s="6" t="inlineStr">
        <is>
          <t>~$40-60</t>
        </is>
      </c>
      <c r="D55" s="6" t="inlineStr">
        <is>
          <t>All CPG / all buyers</t>
        </is>
      </c>
      <c r="E55" s="6" t="inlineStr">
        <is>
          <t>SOM includes retail CPG buyers w/o device</t>
        </is>
      </c>
    </row>
    <row r="56" ht="15" customHeight="1" s="103">
      <c r="B56" s="6" t="inlineStr">
        <is>
          <t xml:space="preserve">  Subscriptions</t>
        </is>
      </c>
      <c r="C56" s="6" t="inlineStr">
        <is>
          <t>~$100-120</t>
        </is>
      </c>
      <c r="D56" s="6" t="n"/>
      <c r="E56" s="6" t="inlineStr">
        <is>
          <t>Premium + Family annual</t>
        </is>
      </c>
    </row>
    <row r="57" ht="15" customHeight="1" s="103">
      <c r="B57" s="6" t="inlineStr">
        <is>
          <t xml:space="preserve">  Total SOM basis</t>
        </is>
      </c>
      <c r="C57" s="6" t="inlineStr">
        <is>
          <t>~$350-500</t>
        </is>
      </c>
      <c r="D57" s="6" t="n"/>
      <c r="E57" s="6" t="inlineStr">
        <is>
          <t>✓ Consistent when hardware &amp; full CPG included</t>
        </is>
      </c>
    </row>
    <row r="60" ht="15" customHeight="1" s="103">
      <c r="B60" s="3" t="inlineStr">
        <is>
          <t>MARKET EXPANSION BEYOND CURRENT TAM</t>
        </is>
      </c>
      <c r="C60" s="4" t="n"/>
      <c r="D60" s="4" t="n"/>
      <c r="E60" s="4" t="n"/>
    </row>
    <row r="61" ht="15" customHeight="1" s="103">
      <c r="B61" s="48" t="inlineStr">
        <is>
          <t>Vector</t>
        </is>
      </c>
      <c r="C61" s="48" t="inlineStr">
        <is>
          <t>Market Size</t>
        </is>
      </c>
      <c r="D61" s="48" t="inlineStr">
        <is>
          <t>Preemadonna Entry</t>
        </is>
      </c>
      <c r="E61" s="48" t="inlineStr">
        <is>
          <t>Timeline</t>
        </is>
      </c>
    </row>
    <row r="62" ht="15" customHeight="1" s="103">
      <c r="B62" s="6" t="inlineStr">
        <is>
          <t>Henna / Mehndi (global)</t>
        </is>
      </c>
      <c r="C62" s="6" t="inlineStr">
        <is>
          <t>$1.4B+</t>
        </is>
      </c>
      <c r="D62" s="6" t="inlineStr">
        <is>
          <t>Inkbot + cultural Inklish kits</t>
        </is>
      </c>
      <c r="E62" s="6" t="inlineStr">
        <is>
          <t>2029+</t>
        </is>
      </c>
    </row>
    <row r="63" ht="15" customHeight="1" s="103">
      <c r="B63" s="6" t="inlineStr">
        <is>
          <t>Digital Makeup</t>
        </is>
      </c>
      <c r="C63" s="6" t="inlineStr">
        <is>
          <t>$2-3B emerging</t>
        </is>
      </c>
      <c r="D63" s="6" t="inlineStr">
        <is>
          <t>Makeup Robot (exploratory)</t>
        </is>
      </c>
      <c r="E63" s="6" t="inlineStr">
        <is>
          <t>2030+</t>
        </is>
      </c>
    </row>
    <row r="64" ht="15" customHeight="1" s="103">
      <c r="B64" s="6" t="inlineStr">
        <is>
          <t>Smart Beauty IP Licensing</t>
        </is>
      </c>
      <c r="C64" s="6" t="inlineStr">
        <is>
          <t>Uncapped</t>
        </is>
      </c>
      <c r="D64" s="6" t="inlineStr">
        <is>
          <t>Art Infrastructure patent licensing</t>
        </is>
      </c>
      <c r="E64" s="6" t="inlineStr">
        <is>
          <t>2029+</t>
        </is>
      </c>
    </row>
    <row r="65" ht="15" customHeight="1" s="103">
      <c r="B65" s="6" t="inlineStr">
        <is>
          <t>Professional / Salon</t>
        </is>
      </c>
      <c r="C65" s="6" t="inlineStr">
        <is>
          <t>$8B+ (nail salon market)</t>
        </is>
      </c>
      <c r="D65" s="6" t="inlineStr">
        <is>
          <t>Entrepreneur-in-a-Box → salon tool</t>
        </is>
      </c>
      <c r="E65" s="6" t="inlineStr">
        <is>
          <t>2027+</t>
        </is>
      </c>
    </row>
    <row r="66" ht="15" customHeight="1" s="103">
      <c r="B66" s="6" t="inlineStr">
        <is>
          <t>K-12 STEM Education</t>
        </is>
      </c>
      <c r="C66" s="6" t="inlineStr">
        <is>
          <t>$1.5B+ (STEM toys)</t>
        </is>
      </c>
      <c r="D66" s="6" t="inlineStr">
        <is>
          <t>Build-a-Bot curriculum</t>
        </is>
      </c>
      <c r="E66" s="6" t="inlineStr">
        <is>
          <t>2027+</t>
        </is>
      </c>
    </row>
    <row r="67" ht="15" customHeight="1" s="103">
      <c r="B67" s="6" t="inlineStr">
        <is>
          <t>Fandom / Entertainment</t>
        </is>
      </c>
      <c r="C67" s="6" t="inlineStr">
        <is>
          <t>$3B+ (licensed merch)</t>
        </is>
      </c>
      <c r="D67" s="6" t="inlineStr">
        <is>
          <t>Licensed partner co-brands + activations</t>
        </is>
      </c>
      <c r="E67" s="6" t="inlineStr">
        <is>
          <t>2026+</t>
        </is>
      </c>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12.xml><?xml version="1.0" encoding="utf-8"?>
<worksheet xmlns="http://schemas.openxmlformats.org/spreadsheetml/2006/main">
  <sheetPr>
    <outlinePr summaryBelow="1" summaryRight="1"/>
    <pageSetUpPr/>
  </sheetPr>
  <dimension ref="B1:L57"/>
  <sheetViews>
    <sheetView showGridLines="0" workbookViewId="0">
      <selection activeCell="A1" sqref="A1"/>
    </sheetView>
  </sheetViews>
  <sheetFormatPr baseColWidth="8" defaultRowHeight="14.4"/>
  <cols>
    <col width="5" customWidth="1" style="103" min="1" max="1"/>
    <col width="12" customWidth="1" style="103" min="2" max="2"/>
    <col width="58" customWidth="1" style="103" min="3" max="3"/>
    <col width="14" customWidth="1" style="103" min="4" max="12"/>
  </cols>
  <sheetData>
    <row r="1" ht="15" customHeight="1" s="103">
      <c r="B1" s="98" t="n"/>
      <c r="C1" s="98" t="n"/>
      <c r="D1" s="98" t="n"/>
      <c r="E1" s="98" t="n"/>
      <c r="F1" s="98" t="n"/>
      <c r="G1" s="98" t="n"/>
      <c r="H1" s="98" t="n"/>
      <c r="I1" s="98" t="n"/>
      <c r="J1" s="98" t="n"/>
      <c r="K1" s="98" t="n"/>
      <c r="L1" s="98" t="n"/>
    </row>
    <row r="2" ht="16.8" customHeight="1" s="103">
      <c r="B2" s="69" t="inlineStr">
        <is>
          <t>CROSS-CHECK: Model Integrity Verification</t>
        </is>
      </c>
    </row>
    <row r="3">
      <c r="B3" s="72" t="inlineStr">
        <is>
          <t>All tests must show PASS. If any show FAIL, there is a formula break.</t>
        </is>
      </c>
    </row>
    <row r="4">
      <c r="B4" s="72" t="inlineStr">
        <is>
          <t>Current scenario: links to Scenario Control B2</t>
        </is>
      </c>
    </row>
    <row r="6">
      <c r="D6" s="75" t="inlineStr">
        <is>
          <t>2026</t>
        </is>
      </c>
      <c r="E6" s="75" t="inlineStr">
        <is>
          <t>2027</t>
        </is>
      </c>
      <c r="F6" s="75" t="inlineStr">
        <is>
          <t>2028</t>
        </is>
      </c>
      <c r="G6" s="75" t="inlineStr">
        <is>
          <t>2029</t>
        </is>
      </c>
      <c r="H6" s="75" t="inlineStr">
        <is>
          <t>2030</t>
        </is>
      </c>
      <c r="I6" s="75" t="inlineStr">
        <is>
          <t>2031</t>
        </is>
      </c>
      <c r="J6" s="75" t="inlineStr">
        <is>
          <t>2032</t>
        </is>
      </c>
      <c r="K6" s="75" t="inlineStr">
        <is>
          <t>2033</t>
        </is>
      </c>
    </row>
    <row r="7">
      <c r="B7" s="70" t="inlineStr">
        <is>
          <t>TEST 1</t>
        </is>
      </c>
      <c r="C7" s="79" t="inlineStr">
        <is>
          <t>HW Total Units = Sum of All Devices</t>
        </is>
      </c>
    </row>
    <row r="8">
      <c r="D8" s="96">
        <f>Hardware!D54-(Hardware!D9+Hardware!D14+Hardware!D19+Hardware!D29+Hardware!D34+Hardware!D39+Hardware!D44+Hardware!D49)</f>
        <v/>
      </c>
      <c r="E8" s="96">
        <f>Hardware!E54-(Hardware!E9+Hardware!E14+Hardware!E19+Hardware!E29+Hardware!E34+Hardware!E39+Hardware!E44+Hardware!E49)</f>
        <v/>
      </c>
      <c r="F8" s="96">
        <f>Hardware!F54-(Hardware!F9+Hardware!F14+Hardware!F19+Hardware!F29+Hardware!F34+Hardware!F39+Hardware!F44+Hardware!F49)</f>
        <v/>
      </c>
      <c r="G8" s="96">
        <f>Hardware!G54-(Hardware!G9+Hardware!G14+Hardware!G19+Hardware!G29+Hardware!G34+Hardware!G39+Hardware!G44+Hardware!G49)</f>
        <v/>
      </c>
      <c r="H8" s="96">
        <f>Hardware!H54-(Hardware!H9+Hardware!H14+Hardware!H19+Hardware!H29+Hardware!H34+Hardware!H39+Hardware!H44+Hardware!H49)</f>
        <v/>
      </c>
      <c r="I8" s="96">
        <f>Hardware!I54-(Hardware!I9+Hardware!I14+Hardware!I19+Hardware!I29+Hardware!I34+Hardware!I39+Hardware!I44+Hardware!I49)</f>
        <v/>
      </c>
      <c r="J8" s="96">
        <f>Hardware!J54-(Hardware!J9+Hardware!J14+Hardware!J19+Hardware!J29+Hardware!J34+Hardware!J39+Hardware!J44+Hardware!J49)</f>
        <v/>
      </c>
      <c r="K8" s="96">
        <f>Hardware!K54-(Hardware!K9+Hardware!K14+Hardware!K19+Hardware!K29+Hardware!K34+Hardware!K39+Hardware!K44+Hardware!K49)</f>
        <v/>
      </c>
    </row>
    <row r="9">
      <c r="D9" s="98">
        <f>IF(ABS(D8)&lt;1,"PASS","FAIL")</f>
        <v/>
      </c>
      <c r="E9" s="98">
        <f>IF(ABS(E8)&lt;1,"PASS","FAIL")</f>
        <v/>
      </c>
      <c r="F9" s="98">
        <f>IF(ABS(F8)&lt;1,"PASS","FAIL")</f>
        <v/>
      </c>
      <c r="G9" s="98">
        <f>IF(ABS(G8)&lt;1,"PASS","FAIL")</f>
        <v/>
      </c>
      <c r="H9" s="98">
        <f>IF(ABS(H8)&lt;1,"PASS","FAIL")</f>
        <v/>
      </c>
      <c r="I9" s="98">
        <f>IF(ABS(I8)&lt;1,"PASS","FAIL")</f>
        <v/>
      </c>
      <c r="J9" s="98">
        <f>IF(ABS(J8)&lt;1,"PASS","FAIL")</f>
        <v/>
      </c>
      <c r="K9" s="98">
        <f>IF(ABS(K8)&lt;1,"PASS","FAIL")</f>
        <v/>
      </c>
    </row>
    <row r="11">
      <c r="B11" s="70" t="inlineStr">
        <is>
          <t>TEST 2</t>
        </is>
      </c>
      <c r="C11" s="79" t="inlineStr">
        <is>
          <t>Installed Base = Prior Base + Current Units</t>
        </is>
      </c>
    </row>
    <row r="12">
      <c r="D12" s="96">
        <f>Hardware!D55-Hardware!D54</f>
        <v/>
      </c>
      <c r="E12" s="96">
        <f>Hardware!E55-(Hardware!D55+Hardware!E54)</f>
        <v/>
      </c>
      <c r="F12" s="96">
        <f>Hardware!F55-(Hardware!E55+Hardware!F54)</f>
        <v/>
      </c>
      <c r="G12" s="96">
        <f>Hardware!G55-(Hardware!F55+Hardware!G54)</f>
        <v/>
      </c>
      <c r="H12" s="96">
        <f>Hardware!H55-(Hardware!G55+Hardware!H54)</f>
        <v/>
      </c>
      <c r="I12" s="96">
        <f>Hardware!I55-(Hardware!H55+Hardware!I54)</f>
        <v/>
      </c>
      <c r="J12" s="96">
        <f>Hardware!J55-(Hardware!I55+Hardware!J54)</f>
        <v/>
      </c>
      <c r="K12" s="96">
        <f>Hardware!K55-(Hardware!J55+Hardware!K54)</f>
        <v/>
      </c>
    </row>
    <row r="13">
      <c r="D13" s="98">
        <f>IF(ABS(D12)&lt;1,"PASS","FAIL")</f>
        <v/>
      </c>
      <c r="E13" s="98">
        <f>IF(ABS(E12)&lt;1,"PASS","FAIL")</f>
        <v/>
      </c>
      <c r="F13" s="98">
        <f>IF(ABS(F12)&lt;1,"PASS","FAIL")</f>
        <v/>
      </c>
      <c r="G13" s="98">
        <f>IF(ABS(G12)&lt;1,"PASS","FAIL")</f>
        <v/>
      </c>
      <c r="H13" s="98">
        <f>IF(ABS(H12)&lt;1,"PASS","FAIL")</f>
        <v/>
      </c>
      <c r="I13" s="98">
        <f>IF(ABS(I12)&lt;1,"PASS","FAIL")</f>
        <v/>
      </c>
      <c r="J13" s="98">
        <f>IF(ABS(J12)&lt;1,"PASS","FAIL")</f>
        <v/>
      </c>
      <c r="K13" s="98">
        <f>IF(ABS(K12)&lt;1,"PASS","FAIL")</f>
        <v/>
      </c>
    </row>
    <row r="15">
      <c r="B15" s="70" t="inlineStr">
        <is>
          <t>TEST 3</t>
        </is>
      </c>
      <c r="C15" s="79" t="inlineStr">
        <is>
          <t>HW Consumables = Base × Active% × $/user / 1000</t>
        </is>
      </c>
    </row>
    <row r="16">
      <c r="D16" s="96">
        <f>'Consumables &amp; CPG'!D10-(Hardware!D55*'Consumables &amp; CPG'!D9*'Consumables &amp; CPG'!D8/1000)</f>
        <v/>
      </c>
      <c r="E16" s="96">
        <f>'Consumables &amp; CPG'!E10-(Hardware!E55*'Consumables &amp; CPG'!E9*'Consumables &amp; CPG'!E8/1000)</f>
        <v/>
      </c>
      <c r="F16" s="96">
        <f>'Consumables &amp; CPG'!F10-(Hardware!F55*'Consumables &amp; CPG'!F9*'Consumables &amp; CPG'!F8/1000)</f>
        <v/>
      </c>
      <c r="G16" s="96">
        <f>'Consumables &amp; CPG'!G10-(Hardware!G55*'Consumables &amp; CPG'!G9*'Consumables &amp; CPG'!G8/1000)</f>
        <v/>
      </c>
      <c r="H16" s="96">
        <f>'Consumables &amp; CPG'!H10-(Hardware!H55*'Consumables &amp; CPG'!H9*'Consumables &amp; CPG'!H8/1000)</f>
        <v/>
      </c>
      <c r="I16" s="96">
        <f>'Consumables &amp; CPG'!I10-(Hardware!I55*'Consumables &amp; CPG'!I9*'Consumables &amp; CPG'!I8/1000)</f>
        <v/>
      </c>
      <c r="J16" s="96">
        <f>'Consumables &amp; CPG'!J10-(Hardware!J55*'Consumables &amp; CPG'!J9*'Consumables &amp; CPG'!J8/1000)</f>
        <v/>
      </c>
      <c r="K16" s="96">
        <f>'Consumables &amp; CPG'!K10-(Hardware!K55*'Consumables &amp; CPG'!K9*'Consumables &amp; CPG'!K8/1000)</f>
        <v/>
      </c>
    </row>
    <row r="17">
      <c r="D17" s="98">
        <f>IF(ABS(D16)&lt;1,"PASS","FAIL")</f>
        <v/>
      </c>
      <c r="E17" s="98">
        <f>IF(ABS(E16)&lt;1,"PASS","FAIL")</f>
        <v/>
      </c>
      <c r="F17" s="98">
        <f>IF(ABS(F16)&lt;1,"PASS","FAIL")</f>
        <v/>
      </c>
      <c r="G17" s="98">
        <f>IF(ABS(G16)&lt;1,"PASS","FAIL")</f>
        <v/>
      </c>
      <c r="H17" s="98">
        <f>IF(ABS(H16)&lt;1,"PASS","FAIL")</f>
        <v/>
      </c>
      <c r="I17" s="98">
        <f>IF(ABS(I16)&lt;1,"PASS","FAIL")</f>
        <v/>
      </c>
      <c r="J17" s="98">
        <f>IF(ABS(J16)&lt;1,"PASS","FAIL")</f>
        <v/>
      </c>
      <c r="K17" s="98">
        <f>IF(ABS(K16)&lt;1,"PASS","FAIL")</f>
        <v/>
      </c>
    </row>
    <row r="19">
      <c r="B19" s="70" t="inlineStr">
        <is>
          <t>TEST 4</t>
        </is>
      </c>
      <c r="C19" s="79" t="inlineStr">
        <is>
          <t>P&amp;L Total Revenue = Sum of 6 Revenue Lines</t>
        </is>
      </c>
    </row>
    <row r="20">
      <c r="D20" s="96">
        <f>'Full P&amp;L'!D14-SUM('Full P&amp;L'!D7:'Full P&amp;L'!D12)</f>
        <v/>
      </c>
      <c r="E20" s="96">
        <f>'Full P&amp;L'!E14-SUM('Full P&amp;L'!E7:'Full P&amp;L'!E12)</f>
        <v/>
      </c>
      <c r="F20" s="96">
        <f>'Full P&amp;L'!F14-SUM('Full P&amp;L'!F7:'Full P&amp;L'!F12)</f>
        <v/>
      </c>
      <c r="G20" s="96">
        <f>'Full P&amp;L'!G14-SUM('Full P&amp;L'!G7:'Full P&amp;L'!G12)</f>
        <v/>
      </c>
      <c r="H20" s="96">
        <f>'Full P&amp;L'!H14-SUM('Full P&amp;L'!H7:'Full P&amp;L'!H12)</f>
        <v/>
      </c>
      <c r="I20" s="96">
        <f>'Full P&amp;L'!I14-SUM('Full P&amp;L'!I7:'Full P&amp;L'!I12)</f>
        <v/>
      </c>
      <c r="J20" s="96">
        <f>'Full P&amp;L'!J14-SUM('Full P&amp;L'!J7:'Full P&amp;L'!J12)</f>
        <v/>
      </c>
      <c r="K20" s="96">
        <f>'Full P&amp;L'!K14-SUM('Full P&amp;L'!K7:'Full P&amp;L'!K12)</f>
        <v/>
      </c>
    </row>
    <row r="21">
      <c r="D21" s="98">
        <f>IF(ABS(D20)&lt;1,"PASS","FAIL")</f>
        <v/>
      </c>
      <c r="E21" s="98">
        <f>IF(ABS(E20)&lt;1,"PASS","FAIL")</f>
        <v/>
      </c>
      <c r="F21" s="98">
        <f>IF(ABS(F20)&lt;1,"PASS","FAIL")</f>
        <v/>
      </c>
      <c r="G21" s="98">
        <f>IF(ABS(G20)&lt;1,"PASS","FAIL")</f>
        <v/>
      </c>
      <c r="H21" s="98">
        <f>IF(ABS(H20)&lt;1,"PASS","FAIL")</f>
        <v/>
      </c>
      <c r="I21" s="98">
        <f>IF(ABS(I20)&lt;1,"PASS","FAIL")</f>
        <v/>
      </c>
      <c r="J21" s="98">
        <f>IF(ABS(J20)&lt;1,"PASS","FAIL")</f>
        <v/>
      </c>
      <c r="K21" s="98">
        <f>IF(ABS(K20)&lt;1,"PASS","FAIL")</f>
        <v/>
      </c>
    </row>
    <row r="23">
      <c r="B23" s="70" t="inlineStr">
        <is>
          <t>TEST 5</t>
        </is>
      </c>
      <c r="C23" s="79" t="inlineStr">
        <is>
          <t>P&amp;L Hardware = Hardware Tab Total</t>
        </is>
      </c>
    </row>
    <row r="24">
      <c r="D24" s="96">
        <f>'Full P&amp;L'!D7-Hardware!D56</f>
        <v/>
      </c>
      <c r="E24" s="96">
        <f>'Full P&amp;L'!E7-Hardware!E56</f>
        <v/>
      </c>
      <c r="F24" s="96">
        <f>'Full P&amp;L'!F7-Hardware!F56</f>
        <v/>
      </c>
      <c r="G24" s="96">
        <f>'Full P&amp;L'!G7-Hardware!G56</f>
        <v/>
      </c>
      <c r="H24" s="96">
        <f>'Full P&amp;L'!H7-Hardware!H56</f>
        <v/>
      </c>
      <c r="I24" s="96">
        <f>'Full P&amp;L'!I7-Hardware!I56</f>
        <v/>
      </c>
      <c r="J24" s="96">
        <f>'Full P&amp;L'!J7-Hardware!J56</f>
        <v/>
      </c>
      <c r="K24" s="96">
        <f>'Full P&amp;L'!K7-Hardware!K56</f>
        <v/>
      </c>
    </row>
    <row r="25">
      <c r="D25" s="98">
        <f>IF(ABS(D24)&lt;1,"PASS","FAIL")</f>
        <v/>
      </c>
      <c r="E25" s="98">
        <f>IF(ABS(E24)&lt;1,"PASS","FAIL")</f>
        <v/>
      </c>
      <c r="F25" s="98">
        <f>IF(ABS(F24)&lt;1,"PASS","FAIL")</f>
        <v/>
      </c>
      <c r="G25" s="98">
        <f>IF(ABS(G24)&lt;1,"PASS","FAIL")</f>
        <v/>
      </c>
      <c r="H25" s="98">
        <f>IF(ABS(H24)&lt;1,"PASS","FAIL")</f>
        <v/>
      </c>
      <c r="I25" s="98">
        <f>IF(ABS(I24)&lt;1,"PASS","FAIL")</f>
        <v/>
      </c>
      <c r="J25" s="98">
        <f>IF(ABS(J24)&lt;1,"PASS","FAIL")</f>
        <v/>
      </c>
      <c r="K25" s="98">
        <f>IF(ABS(K24)&lt;1,"PASS","FAIL")</f>
        <v/>
      </c>
    </row>
    <row r="27">
      <c r="B27" s="70" t="inlineStr">
        <is>
          <t>TEST 6</t>
        </is>
      </c>
      <c r="C27" s="79" t="inlineStr">
        <is>
          <t>P&amp;L HW Cons = Consumables Tab R10</t>
        </is>
      </c>
    </row>
    <row r="28">
      <c r="D28" s="96">
        <f>'Full P&amp;L'!D8-'Consumables &amp; CPG'!D10</f>
        <v/>
      </c>
      <c r="E28" s="96">
        <f>'Full P&amp;L'!E8-'Consumables &amp; CPG'!E10</f>
        <v/>
      </c>
      <c r="F28" s="96">
        <f>'Full P&amp;L'!F8-'Consumables &amp; CPG'!F10</f>
        <v/>
      </c>
      <c r="G28" s="96">
        <f>'Full P&amp;L'!G8-'Consumables &amp; CPG'!G10</f>
        <v/>
      </c>
      <c r="H28" s="96">
        <f>'Full P&amp;L'!H8-'Consumables &amp; CPG'!H10</f>
        <v/>
      </c>
      <c r="I28" s="96">
        <f>'Full P&amp;L'!I8-'Consumables &amp; CPG'!I10</f>
        <v/>
      </c>
      <c r="J28" s="96">
        <f>'Full P&amp;L'!J8-'Consumables &amp; CPG'!J10</f>
        <v/>
      </c>
      <c r="K28" s="96">
        <f>'Full P&amp;L'!K8-'Consumables &amp; CPG'!K10</f>
        <v/>
      </c>
    </row>
    <row r="29">
      <c r="D29" s="98">
        <f>IF(ABS(D28)&lt;1,"PASS","FAIL")</f>
        <v/>
      </c>
      <c r="E29" s="98">
        <f>IF(ABS(E28)&lt;1,"PASS","FAIL")</f>
        <v/>
      </c>
      <c r="F29" s="98">
        <f>IF(ABS(F28)&lt;1,"PASS","FAIL")</f>
        <v/>
      </c>
      <c r="G29" s="98">
        <f>IF(ABS(G28)&lt;1,"PASS","FAIL")</f>
        <v/>
      </c>
      <c r="H29" s="98">
        <f>IF(ABS(H28)&lt;1,"PASS","FAIL")</f>
        <v/>
      </c>
      <c r="I29" s="98">
        <f>IF(ABS(I28)&lt;1,"PASS","FAIL")</f>
        <v/>
      </c>
      <c r="J29" s="98">
        <f>IF(ABS(J28)&lt;1,"PASS","FAIL")</f>
        <v/>
      </c>
      <c r="K29" s="98">
        <f>IF(ABS(K28)&lt;1,"PASS","FAIL")</f>
        <v/>
      </c>
    </row>
    <row r="31">
      <c r="B31" s="70" t="inlineStr">
        <is>
          <t>TEST 7</t>
        </is>
      </c>
      <c r="C31" s="79" t="inlineStr">
        <is>
          <t>P&amp;L CPG = Consumables Tab R18</t>
        </is>
      </c>
    </row>
    <row r="32">
      <c r="D32" s="96">
        <f>'Full P&amp;L'!D9-'Consumables &amp; CPG'!D18</f>
        <v/>
      </c>
      <c r="E32" s="96">
        <f>'Full P&amp;L'!E9-'Consumables &amp; CPG'!E18</f>
        <v/>
      </c>
      <c r="F32" s="96">
        <f>'Full P&amp;L'!F9-'Consumables &amp; CPG'!F18</f>
        <v/>
      </c>
      <c r="G32" s="96">
        <f>'Full P&amp;L'!G9-'Consumables &amp; CPG'!G18</f>
        <v/>
      </c>
      <c r="H32" s="96">
        <f>'Full P&amp;L'!H9-'Consumables &amp; CPG'!H18</f>
        <v/>
      </c>
      <c r="I32" s="96">
        <f>'Full P&amp;L'!I9-'Consumables &amp; CPG'!I18</f>
        <v/>
      </c>
      <c r="J32" s="96">
        <f>'Full P&amp;L'!J9-'Consumables &amp; CPG'!J18</f>
        <v/>
      </c>
      <c r="K32" s="96">
        <f>'Full P&amp;L'!K9-'Consumables &amp; CPG'!K18</f>
        <v/>
      </c>
    </row>
    <row r="33">
      <c r="D33" s="98">
        <f>IF(ABS(D32)&lt;1,"PASS","FAIL")</f>
        <v/>
      </c>
      <c r="E33" s="98">
        <f>IF(ABS(E32)&lt;1,"PASS","FAIL")</f>
        <v/>
      </c>
      <c r="F33" s="98">
        <f>IF(ABS(F32)&lt;1,"PASS","FAIL")</f>
        <v/>
      </c>
      <c r="G33" s="98">
        <f>IF(ABS(G32)&lt;1,"PASS","FAIL")</f>
        <v/>
      </c>
      <c r="H33" s="98">
        <f>IF(ABS(H32)&lt;1,"PASS","FAIL")</f>
        <v/>
      </c>
      <c r="I33" s="98">
        <f>IF(ABS(I32)&lt;1,"PASS","FAIL")</f>
        <v/>
      </c>
      <c r="J33" s="98">
        <f>IF(ABS(J32)&lt;1,"PASS","FAIL")</f>
        <v/>
      </c>
      <c r="K33" s="98">
        <f>IF(ABS(K32)&lt;1,"PASS","FAIL")</f>
        <v/>
      </c>
    </row>
    <row r="35">
      <c r="B35" s="70" t="inlineStr">
        <is>
          <t>TEST 8</t>
        </is>
      </c>
      <c r="C35" s="79" t="inlineStr">
        <is>
          <t>EBITDA = Gross Profit + Total OpEx</t>
        </is>
      </c>
    </row>
    <row r="36">
      <c r="D36" s="96">
        <f>'Full P&amp;L'!D38-('Full P&amp;L'!D26+'Full P&amp;L'!D34)</f>
        <v/>
      </c>
      <c r="E36" s="96">
        <f>'Full P&amp;L'!E38-('Full P&amp;L'!E26+'Full P&amp;L'!E34)</f>
        <v/>
      </c>
      <c r="F36" s="96">
        <f>'Full P&amp;L'!F38-('Full P&amp;L'!F26+'Full P&amp;L'!F34)</f>
        <v/>
      </c>
      <c r="G36" s="96">
        <f>'Full P&amp;L'!G38-('Full P&amp;L'!G26+'Full P&amp;L'!G34)</f>
        <v/>
      </c>
      <c r="H36" s="96">
        <f>'Full P&amp;L'!H38-('Full P&amp;L'!H26+'Full P&amp;L'!H34)</f>
        <v/>
      </c>
      <c r="I36" s="96">
        <f>'Full P&amp;L'!I38-('Full P&amp;L'!I26+'Full P&amp;L'!I34)</f>
        <v/>
      </c>
      <c r="J36" s="96">
        <f>'Full P&amp;L'!J38-('Full P&amp;L'!J26+'Full P&amp;L'!J34)</f>
        <v/>
      </c>
      <c r="K36" s="96">
        <f>'Full P&amp;L'!K38-('Full P&amp;L'!K26+'Full P&amp;L'!K34)</f>
        <v/>
      </c>
    </row>
    <row r="37">
      <c r="D37" s="98">
        <f>IF(ABS(D36)&lt;1,"PASS","FAIL")</f>
        <v/>
      </c>
      <c r="E37" s="98">
        <f>IF(ABS(E36)&lt;1,"PASS","FAIL")</f>
        <v/>
      </c>
      <c r="F37" s="98">
        <f>IF(ABS(F36)&lt;1,"PASS","FAIL")</f>
        <v/>
      </c>
      <c r="G37" s="98">
        <f>IF(ABS(G36)&lt;1,"PASS","FAIL")</f>
        <v/>
      </c>
      <c r="H37" s="98">
        <f>IF(ABS(H36)&lt;1,"PASS","FAIL")</f>
        <v/>
      </c>
      <c r="I37" s="98">
        <f>IF(ABS(I36)&lt;1,"PASS","FAIL")</f>
        <v/>
      </c>
      <c r="J37" s="98">
        <f>IF(ABS(J36)&lt;1,"PASS","FAIL")</f>
        <v/>
      </c>
      <c r="K37" s="98">
        <f>IF(ABS(K36)&lt;1,"PASS","FAIL")</f>
        <v/>
      </c>
    </row>
    <row r="39">
      <c r="B39" s="70" t="inlineStr">
        <is>
          <t>TEST 9</t>
        </is>
      </c>
      <c r="C39" s="79" t="inlineStr">
        <is>
          <t>Gross Profit = Revenue + COGS</t>
        </is>
      </c>
    </row>
    <row r="40">
      <c r="D40" s="96">
        <f>'Full P&amp;L'!D26-('Full P&amp;L'!D14+'Full P&amp;L'!D25)</f>
        <v/>
      </c>
      <c r="E40" s="96">
        <f>'Full P&amp;L'!E26-('Full P&amp;L'!E14+'Full P&amp;L'!E25)</f>
        <v/>
      </c>
      <c r="F40" s="96">
        <f>'Full P&amp;L'!F26-('Full P&amp;L'!F14+'Full P&amp;L'!F25)</f>
        <v/>
      </c>
      <c r="G40" s="96">
        <f>'Full P&amp;L'!G26-('Full P&amp;L'!G14+'Full P&amp;L'!G25)</f>
        <v/>
      </c>
      <c r="H40" s="96">
        <f>'Full P&amp;L'!H26-('Full P&amp;L'!H14+'Full P&amp;L'!H25)</f>
        <v/>
      </c>
      <c r="I40" s="96">
        <f>'Full P&amp;L'!I26-('Full P&amp;L'!I14+'Full P&amp;L'!I25)</f>
        <v/>
      </c>
      <c r="J40" s="96">
        <f>'Full P&amp;L'!J26-('Full P&amp;L'!J14+'Full P&amp;L'!J25)</f>
        <v/>
      </c>
      <c r="K40" s="96">
        <f>'Full P&amp;L'!K26-('Full P&amp;L'!K14+'Full P&amp;L'!K25)</f>
        <v/>
      </c>
    </row>
    <row r="41">
      <c r="D41" s="98">
        <f>IF(ABS(D40)&lt;1,"PASS","FAIL")</f>
        <v/>
      </c>
      <c r="E41" s="98">
        <f>IF(ABS(E40)&lt;1,"PASS","FAIL")</f>
        <v/>
      </c>
      <c r="F41" s="98">
        <f>IF(ABS(F40)&lt;1,"PASS","FAIL")</f>
        <v/>
      </c>
      <c r="G41" s="98">
        <f>IF(ABS(G40)&lt;1,"PASS","FAIL")</f>
        <v/>
      </c>
      <c r="H41" s="98">
        <f>IF(ABS(H40)&lt;1,"PASS","FAIL")</f>
        <v/>
      </c>
      <c r="I41" s="98">
        <f>IF(ABS(I40)&lt;1,"PASS","FAIL")</f>
        <v/>
      </c>
      <c r="J41" s="98">
        <f>IF(ABS(J40)&lt;1,"PASS","FAIL")</f>
        <v/>
      </c>
      <c r="K41" s="98">
        <f>IF(ABS(K40)&lt;1,"PASS","FAIL")</f>
        <v/>
      </c>
    </row>
    <row r="43">
      <c r="B43" s="70" t="inlineStr">
        <is>
          <t>TEST 10</t>
        </is>
      </c>
      <c r="C43" s="79" t="inlineStr">
        <is>
          <t>Y1 Partner Co-Brand matches active scenario (Cons=25, Mod=4K, Agg=5K)</t>
        </is>
      </c>
    </row>
    <row r="44">
      <c r="D44" s="96">
        <f>IF('Scenario Control'!$C$3="Conservative",IF(ABS(Hardware!D14-25)&lt;1,0,1),IF('Scenario Control'!$C$3="Moderate",IF(ABS(Hardware!D14-4000)&lt;1,0,1),IF(ABS(Hardware!D14-5000)&lt;1,0,1)))</f>
        <v/>
      </c>
      <c r="E44" s="96">
        <f>"N/A"</f>
        <v/>
      </c>
      <c r="F44" s="96">
        <f>"N/A"</f>
        <v/>
      </c>
      <c r="G44" s="96">
        <f>"N/A"</f>
        <v/>
      </c>
      <c r="H44" s="96">
        <f>"N/A"</f>
        <v/>
      </c>
      <c r="I44" s="96">
        <f>"N/A"</f>
        <v/>
      </c>
      <c r="J44" s="96">
        <f>"N/A"</f>
        <v/>
      </c>
      <c r="K44" s="96">
        <f>"N/A"</f>
        <v/>
      </c>
    </row>
    <row r="45">
      <c r="D45" s="98">
        <f>IF(ABS(D44)&lt;1,"PASS","FAIL")</f>
        <v/>
      </c>
      <c r="E45" s="98" t="inlineStr">
        <is>
          <t>N/A</t>
        </is>
      </c>
      <c r="F45" s="98" t="inlineStr">
        <is>
          <t>N/A</t>
        </is>
      </c>
      <c r="G45" s="98" t="inlineStr">
        <is>
          <t>N/A</t>
        </is>
      </c>
      <c r="H45" s="98" t="inlineStr">
        <is>
          <t>N/A</t>
        </is>
      </c>
      <c r="I45" s="98" t="inlineStr">
        <is>
          <t>N/A</t>
        </is>
      </c>
      <c r="J45" s="98" t="inlineStr">
        <is>
          <t>N/A</t>
        </is>
      </c>
      <c r="K45" s="98" t="inlineStr">
        <is>
          <t>N/A</t>
        </is>
      </c>
    </row>
    <row r="47">
      <c r="B47" s="70" t="inlineStr">
        <is>
          <t>TEST 11</t>
        </is>
      </c>
      <c r="C47" s="79" t="inlineStr">
        <is>
          <t>Y1 NB 2.0 own brand matches active scenario (Cons=100, Mod=1K, Agg=1.2K)</t>
        </is>
      </c>
    </row>
    <row r="48">
      <c r="D48" s="96">
        <f>IF('Scenario Control'!$C$3="Conservative",IF(ABS(Hardware!D9-100)&lt;1,0,1),IF('Scenario Control'!$C$3="Moderate",IF(ABS(Hardware!D9-1000)&lt;1,0,1),IF(ABS(Hardware!D9-1200)&lt;1,0,1)))</f>
        <v/>
      </c>
      <c r="E48" s="96">
        <f>"N/A"</f>
        <v/>
      </c>
      <c r="F48" s="96">
        <f>"N/A"</f>
        <v/>
      </c>
      <c r="G48" s="96">
        <f>"N/A"</f>
        <v/>
      </c>
      <c r="H48" s="96">
        <f>"N/A"</f>
        <v/>
      </c>
      <c r="I48" s="96">
        <f>"N/A"</f>
        <v/>
      </c>
      <c r="J48" s="96">
        <f>"N/A"</f>
        <v/>
      </c>
      <c r="K48" s="96">
        <f>"N/A"</f>
        <v/>
      </c>
    </row>
    <row r="49">
      <c r="D49" s="98">
        <f>IF(ABS(D48)&lt;1,"PASS","FAIL")</f>
        <v/>
      </c>
      <c r="E49" s="98" t="inlineStr">
        <is>
          <t>N/A</t>
        </is>
      </c>
      <c r="F49" s="98" t="inlineStr">
        <is>
          <t>N/A</t>
        </is>
      </c>
      <c r="G49" s="98" t="inlineStr">
        <is>
          <t>N/A</t>
        </is>
      </c>
      <c r="H49" s="98" t="inlineStr">
        <is>
          <t>N/A</t>
        </is>
      </c>
      <c r="I49" s="98" t="inlineStr">
        <is>
          <t>N/A</t>
        </is>
      </c>
      <c r="J49" s="98" t="inlineStr">
        <is>
          <t>N/A</t>
        </is>
      </c>
      <c r="K49" s="98" t="inlineStr">
        <is>
          <t>N/A</t>
        </is>
      </c>
    </row>
    <row r="51">
      <c r="B51" s="70" t="inlineStr">
        <is>
          <t>TEST 12</t>
        </is>
      </c>
      <c r="C51" s="79" t="inlineStr">
        <is>
          <t>Sub Rev ties to formula: (Prem×$9.99×12×act% + Fam×$19.99×12×act%) / 1000</t>
        </is>
      </c>
    </row>
    <row r="52">
      <c r="D52" s="96">
        <f>'Digital &amp; IP Licensing'!D14-(('Scenario Control'!AE35*9.99*12*'Scenario Control'!AE37+'Scenario Control'!AE36*19.99*12*'Scenario Control'!AE37)/1000)</f>
        <v/>
      </c>
      <c r="E52" s="96">
        <f>'Digital &amp; IP Licensing'!E14-(('Scenario Control'!AF35*9.99*12*'Scenario Control'!AF37+'Scenario Control'!AF36*19.99*12*'Scenario Control'!AF37)/1000)</f>
        <v/>
      </c>
      <c r="F52" s="96">
        <f>'Digital &amp; IP Licensing'!F14-(('Scenario Control'!AG35*9.99*12*'Scenario Control'!AG37+'Scenario Control'!AG36*19.99*12*'Scenario Control'!AG37)/1000)</f>
        <v/>
      </c>
      <c r="G52" s="96">
        <f>'Digital &amp; IP Licensing'!G14-(('Scenario Control'!AH35*9.99*12*'Scenario Control'!AH37+'Scenario Control'!AH36*19.99*12*'Scenario Control'!AH37)/1000)</f>
        <v/>
      </c>
      <c r="H52" s="96">
        <f>'Digital &amp; IP Licensing'!H14-(('Scenario Control'!AI35*9.99*12*'Scenario Control'!AI37+'Scenario Control'!AI36*19.99*12*'Scenario Control'!AI37)/1000)</f>
        <v/>
      </c>
      <c r="I52" s="96">
        <f>'Digital &amp; IP Licensing'!I14-(('Scenario Control'!AJ35*9.99*12*'Scenario Control'!AJ37+'Scenario Control'!AJ36*19.99*12*'Scenario Control'!AJ37)/1000)</f>
        <v/>
      </c>
      <c r="J52" s="96">
        <f>'Digital &amp; IP Licensing'!J14-(('Scenario Control'!AK35*9.99*12*'Scenario Control'!AK37+'Scenario Control'!AK36*19.99*12*'Scenario Control'!AK37)/1000)</f>
        <v/>
      </c>
      <c r="K52" s="96">
        <f>'Digital &amp; IP Licensing'!K14-(('Scenario Control'!AL35*9.99*12*'Scenario Control'!AL37+'Scenario Control'!AL36*19.99*12*'Scenario Control'!AL37)/1000)</f>
        <v/>
      </c>
    </row>
    <row r="53">
      <c r="D53" s="98">
        <f>IF(ABS(D52)&lt;1,"PASS","FAIL")</f>
        <v/>
      </c>
      <c r="E53" s="98">
        <f>IF(ABS(E52)&lt;1,"PASS","FAIL")</f>
        <v/>
      </c>
      <c r="F53" s="98">
        <f>IF(ABS(F52)&lt;1,"PASS","FAIL")</f>
        <v/>
      </c>
      <c r="G53" s="98">
        <f>IF(ABS(G52)&lt;1,"PASS","FAIL")</f>
        <v/>
      </c>
      <c r="H53" s="98">
        <f>IF(ABS(H52)&lt;1,"PASS","FAIL")</f>
        <v/>
      </c>
      <c r="I53" s="98">
        <f>IF(ABS(I52)&lt;1,"PASS","FAIL")</f>
        <v/>
      </c>
      <c r="J53" s="98">
        <f>IF(ABS(J52)&lt;1,"PASS","FAIL")</f>
        <v/>
      </c>
      <c r="K53" s="98">
        <f>IF(ABS(K52)&lt;1,"PASS","FAIL")</f>
        <v/>
      </c>
    </row>
    <row r="55">
      <c r="B55" s="70" t="inlineStr">
        <is>
          <t>TEST 13</t>
        </is>
      </c>
      <c r="C55" s="79" t="inlineStr">
        <is>
          <t>HW GM% reads from Scenario Control</t>
        </is>
      </c>
    </row>
    <row r="56">
      <c r="D56" s="96">
        <f>Hardware!D57-'Scenario Control'!AE20</f>
        <v/>
      </c>
      <c r="E56" s="96">
        <f>Hardware!E57-'Scenario Control'!AF20</f>
        <v/>
      </c>
      <c r="F56" s="96">
        <f>Hardware!F57-'Scenario Control'!AG20</f>
        <v/>
      </c>
      <c r="G56" s="96">
        <f>Hardware!G57-'Scenario Control'!AH20</f>
        <v/>
      </c>
      <c r="H56" s="96">
        <f>Hardware!H57-'Scenario Control'!AI20</f>
        <v/>
      </c>
      <c r="I56" s="96">
        <f>Hardware!I57-'Scenario Control'!AJ20</f>
        <v/>
      </c>
      <c r="J56" s="96">
        <f>Hardware!J57-'Scenario Control'!AK20</f>
        <v/>
      </c>
      <c r="K56" s="96">
        <f>Hardware!K57-'Scenario Control'!AL20</f>
        <v/>
      </c>
    </row>
    <row r="57">
      <c r="D57" s="98">
        <f>IF(ABS(D56)&lt;1,"PASS","FAIL")</f>
        <v/>
      </c>
      <c r="E57" s="98">
        <f>IF(ABS(E56)&lt;1,"PASS","FAIL")</f>
        <v/>
      </c>
      <c r="F57" s="98">
        <f>IF(ABS(F56)&lt;1,"PASS","FAIL")</f>
        <v/>
      </c>
      <c r="G57" s="98">
        <f>IF(ABS(G56)&lt;1,"PASS","FAIL")</f>
        <v/>
      </c>
      <c r="H57" s="98">
        <f>IF(ABS(H56)&lt;1,"PASS","FAIL")</f>
        <v/>
      </c>
      <c r="I57" s="98">
        <f>IF(ABS(I56)&lt;1,"PASS","FAIL")</f>
        <v/>
      </c>
      <c r="J57" s="98">
        <f>IF(ABS(J56)&lt;1,"PASS","FAIL")</f>
        <v/>
      </c>
      <c r="K57" s="98">
        <f>IF(ABS(K56)&lt;1,"PASS","FAIL")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1:AM49"/>
  <sheetViews>
    <sheetView showGridLines="0" tabSelected="1" zoomScaleNormal="100" workbookViewId="0">
      <selection activeCell="A1" sqref="A1"/>
    </sheetView>
  </sheetViews>
  <sheetFormatPr baseColWidth="8" defaultRowHeight="14.4"/>
  <cols>
    <col width="5" customWidth="1" style="103" min="1" max="1"/>
    <col width="32" customWidth="1" style="103" min="2" max="2"/>
    <col width="17.88671875" bestFit="1" customWidth="1" style="103" min="3" max="3"/>
    <col hidden="1" outlineLevel="1" width="12" customWidth="1" style="103" min="4" max="30"/>
    <col collapsed="1" width="12" customWidth="1" style="103" min="31" max="31"/>
    <col width="12" customWidth="1" style="103" min="32" max="39"/>
  </cols>
  <sheetData>
    <row r="1" ht="15" customHeight="1" s="103">
      <c r="B1" s="98" t="n"/>
      <c r="C1" s="98" t="n"/>
      <c r="D1" s="98" t="n"/>
      <c r="E1" s="98" t="n"/>
      <c r="F1" s="98" t="n"/>
      <c r="G1" s="98" t="n"/>
      <c r="H1" s="98" t="n"/>
      <c r="I1" s="98" t="n"/>
      <c r="J1" s="98" t="n"/>
      <c r="K1" s="98" t="n"/>
      <c r="L1" s="98" t="n"/>
      <c r="M1" s="98" t="n"/>
      <c r="N1" s="98" t="n"/>
      <c r="O1" s="98" t="n"/>
      <c r="P1" s="98" t="n"/>
      <c r="Q1" s="98" t="n"/>
      <c r="R1" s="98" t="n"/>
      <c r="S1" s="98" t="n"/>
      <c r="T1" s="98" t="n"/>
      <c r="U1" s="98" t="n"/>
      <c r="V1" s="98" t="n"/>
      <c r="W1" s="98" t="n"/>
      <c r="X1" s="98" t="n"/>
      <c r="Y1" s="98" t="n"/>
      <c r="Z1" s="98" t="n"/>
      <c r="AA1" s="98" t="n"/>
      <c r="AB1" s="98" t="n"/>
      <c r="AC1" s="98" t="n"/>
      <c r="AD1" s="98" t="n"/>
      <c r="AE1" s="98" t="n"/>
      <c r="AF1" s="98" t="n"/>
      <c r="AG1" s="98" t="n"/>
      <c r="AH1" s="98" t="n"/>
      <c r="AI1" s="98" t="n"/>
      <c r="AJ1" s="98" t="n"/>
      <c r="AK1" s="98" t="n"/>
      <c r="AL1" s="98" t="n"/>
      <c r="AM1" s="98" t="n"/>
    </row>
    <row r="2" ht="16.8" customHeight="1" s="103">
      <c r="B2" s="69" t="inlineStr">
        <is>
          <t>SCENARIO CONTROL</t>
        </is>
      </c>
    </row>
    <row r="3" ht="17.4" customHeight="1" s="103">
      <c r="B3" s="70" t="inlineStr">
        <is>
          <t>Select scenario:</t>
        </is>
      </c>
      <c r="C3" s="71" t="inlineStr">
        <is>
          <t>Conservative</t>
        </is>
      </c>
    </row>
    <row r="4">
      <c r="B4" s="72" t="inlineStr">
        <is>
          <t>Toggle C3 to switch entire model. Conservative = default = teaser/site numbers. Charts, P&amp;L, Reality Check all recalculate.</t>
        </is>
      </c>
    </row>
    <row r="5">
      <c r="D5" s="107" t="inlineStr">
        <is>
          <t>CONSERVATIVE</t>
        </is>
      </c>
      <c r="M5" s="108" t="inlineStr">
        <is>
          <t>MODERATE</t>
        </is>
      </c>
      <c r="V5" s="109" t="inlineStr">
        <is>
          <t>AGGRESSIVE</t>
        </is>
      </c>
      <c r="AE5" s="110" t="inlineStr">
        <is>
          <t>ACTIVE (auto)</t>
        </is>
      </c>
    </row>
    <row r="6">
      <c r="B6" s="73" t="inlineStr">
        <is>
          <t>Assumption</t>
        </is>
      </c>
      <c r="C6" s="74" t="n"/>
      <c r="D6" s="75" t="inlineStr">
        <is>
          <t>2026</t>
        </is>
      </c>
      <c r="E6" s="75" t="inlineStr">
        <is>
          <t>2027</t>
        </is>
      </c>
      <c r="F6" s="75" t="inlineStr">
        <is>
          <t>2028</t>
        </is>
      </c>
      <c r="G6" s="75" t="inlineStr">
        <is>
          <t>2029</t>
        </is>
      </c>
      <c r="H6" s="75" t="inlineStr">
        <is>
          <t>2030</t>
        </is>
      </c>
      <c r="I6" s="75" t="inlineStr">
        <is>
          <t>2031</t>
        </is>
      </c>
      <c r="J6" s="75" t="inlineStr">
        <is>
          <t>2032</t>
        </is>
      </c>
      <c r="K6" s="75" t="inlineStr">
        <is>
          <t>2033</t>
        </is>
      </c>
      <c r="M6" s="75" t="inlineStr">
        <is>
          <t>2026</t>
        </is>
      </c>
      <c r="N6" s="75" t="inlineStr">
        <is>
          <t>2027</t>
        </is>
      </c>
      <c r="O6" s="75" t="inlineStr">
        <is>
          <t>2028</t>
        </is>
      </c>
      <c r="P6" s="75" t="inlineStr">
        <is>
          <t>2029</t>
        </is>
      </c>
      <c r="Q6" s="75" t="inlineStr">
        <is>
          <t>2030</t>
        </is>
      </c>
      <c r="R6" s="75" t="inlineStr">
        <is>
          <t>2031</t>
        </is>
      </c>
      <c r="S6" s="75" t="inlineStr">
        <is>
          <t>2032</t>
        </is>
      </c>
      <c r="T6" s="75" t="inlineStr">
        <is>
          <t>2033</t>
        </is>
      </c>
      <c r="V6" s="75" t="inlineStr">
        <is>
          <t>2026</t>
        </is>
      </c>
      <c r="W6" s="75" t="inlineStr">
        <is>
          <t>2027</t>
        </is>
      </c>
      <c r="X6" s="75" t="inlineStr">
        <is>
          <t>2028</t>
        </is>
      </c>
      <c r="Y6" s="75" t="inlineStr">
        <is>
          <t>2029</t>
        </is>
      </c>
      <c r="Z6" s="75" t="inlineStr">
        <is>
          <t>2030</t>
        </is>
      </c>
      <c r="AA6" s="75" t="inlineStr">
        <is>
          <t>2031</t>
        </is>
      </c>
      <c r="AB6" s="75" t="inlineStr">
        <is>
          <t>2032</t>
        </is>
      </c>
      <c r="AC6" s="75" t="inlineStr">
        <is>
          <t>2033</t>
        </is>
      </c>
      <c r="AE6" s="76" t="inlineStr">
        <is>
          <t>2026</t>
        </is>
      </c>
      <c r="AF6" s="76" t="inlineStr">
        <is>
          <t>2027</t>
        </is>
      </c>
      <c r="AG6" s="76" t="inlineStr">
        <is>
          <t>2028</t>
        </is>
      </c>
      <c r="AH6" s="76" t="inlineStr">
        <is>
          <t>2029</t>
        </is>
      </c>
      <c r="AI6" s="76" t="inlineStr">
        <is>
          <t>2030</t>
        </is>
      </c>
      <c r="AJ6" s="76" t="inlineStr">
        <is>
          <t>2031</t>
        </is>
      </c>
      <c r="AK6" s="76" t="inlineStr">
        <is>
          <t>2032</t>
        </is>
      </c>
      <c r="AL6" s="76" t="inlineStr">
        <is>
          <t>2033</t>
        </is>
      </c>
    </row>
    <row r="7">
      <c r="B7" s="77" t="inlineStr">
        <is>
          <t>HARDWARE UNITS</t>
        </is>
      </c>
      <c r="C7" s="78" t="n"/>
      <c r="D7" s="78" t="n"/>
      <c r="E7" s="78" t="n"/>
      <c r="F7" s="78" t="n"/>
      <c r="G7" s="78" t="n"/>
      <c r="H7" s="78" t="n"/>
      <c r="I7" s="78" t="n"/>
      <c r="J7" s="78" t="n"/>
      <c r="K7" s="78" t="n"/>
      <c r="M7" s="78" t="n"/>
      <c r="N7" s="78" t="n"/>
      <c r="O7" s="78" t="n"/>
      <c r="P7" s="78" t="n"/>
      <c r="Q7" s="78" t="n"/>
      <c r="R7" s="78" t="n"/>
      <c r="S7" s="78" t="n"/>
      <c r="T7" s="78" t="n"/>
      <c r="V7" s="78" t="n"/>
      <c r="W7" s="78" t="n"/>
      <c r="X7" s="78" t="n"/>
      <c r="Y7" s="78" t="n"/>
      <c r="Z7" s="78" t="n"/>
      <c r="AA7" s="78" t="n"/>
      <c r="AB7" s="78" t="n"/>
      <c r="AC7" s="78" t="n"/>
      <c r="AE7" s="78" t="n"/>
      <c r="AF7" s="78" t="n"/>
      <c r="AG7" s="78" t="n"/>
      <c r="AH7" s="78" t="n"/>
      <c r="AI7" s="78" t="n"/>
      <c r="AJ7" s="78" t="n"/>
      <c r="AK7" s="78" t="n"/>
      <c r="AL7" s="78" t="n"/>
    </row>
    <row r="8">
      <c r="B8" s="79" t="inlineStr">
        <is>
          <t>NB 2.0 Units (own brand)</t>
        </is>
      </c>
      <c r="D8" s="80" t="n">
        <v>100</v>
      </c>
      <c r="E8" s="80" t="n">
        <v>10000</v>
      </c>
      <c r="F8" s="80" t="n">
        <v>24000</v>
      </c>
      <c r="G8" s="80" t="n">
        <v>38000</v>
      </c>
      <c r="H8" s="80" t="n">
        <v>50000</v>
      </c>
      <c r="I8" s="80" t="n">
        <v>60000</v>
      </c>
      <c r="J8" s="80" t="n">
        <v>68000</v>
      </c>
      <c r="K8" s="80" t="n">
        <v>75000</v>
      </c>
      <c r="M8" s="80" t="n">
        <v>1000</v>
      </c>
      <c r="N8" s="80" t="n">
        <v>12000</v>
      </c>
      <c r="O8" s="80" t="n">
        <v>30000</v>
      </c>
      <c r="P8" s="80" t="n">
        <v>48000</v>
      </c>
      <c r="Q8" s="80" t="n">
        <v>65000</v>
      </c>
      <c r="R8" s="80" t="n">
        <v>80000</v>
      </c>
      <c r="S8" s="80" t="n">
        <v>90000</v>
      </c>
      <c r="T8" s="80" t="n">
        <v>98000</v>
      </c>
      <c r="V8" s="80" t="n">
        <v>1200</v>
      </c>
      <c r="W8" s="80" t="n">
        <v>18000</v>
      </c>
      <c r="X8" s="80" t="n">
        <v>42000</v>
      </c>
      <c r="Y8" s="80" t="n">
        <v>62000</v>
      </c>
      <c r="Z8" s="80" t="n">
        <v>82000</v>
      </c>
      <c r="AA8" s="80" t="n">
        <v>98000</v>
      </c>
      <c r="AB8" s="80" t="n">
        <v>108000</v>
      </c>
      <c r="AC8" s="80" t="n">
        <v>115000</v>
      </c>
      <c r="AE8" s="81">
        <f>IF($C$3="Conservative",D8,IF($C$3="Moderate",M8,V8))</f>
        <v/>
      </c>
      <c r="AF8" s="81">
        <f>IF($C$3="Conservative",E8,IF($C$3="Moderate",N8,W8))</f>
        <v/>
      </c>
      <c r="AG8" s="81">
        <f>IF($C$3="Conservative",F8,IF($C$3="Moderate",O8,X8))</f>
        <v/>
      </c>
      <c r="AH8" s="81">
        <f>IF($C$3="Conservative",G8,IF($C$3="Moderate",P8,Y8))</f>
        <v/>
      </c>
      <c r="AI8" s="81">
        <f>IF($C$3="Conservative",H8,IF($C$3="Moderate",Q8,Z8))</f>
        <v/>
      </c>
      <c r="AJ8" s="81">
        <f>IF($C$3="Conservative",I8,IF($C$3="Moderate",R8,AA8))</f>
        <v/>
      </c>
      <c r="AK8" s="81">
        <f>IF($C$3="Conservative",J8,IF($C$3="Moderate",S8,AB8))</f>
        <v/>
      </c>
      <c r="AL8" s="81">
        <f>IF($C$3="Conservative",K8,IF($C$3="Moderate",T8,AC8))</f>
        <v/>
      </c>
    </row>
    <row r="9">
      <c r="B9" s="79" t="inlineStr">
        <is>
          <t>Licensed Partner Co-Brand Units</t>
        </is>
      </c>
      <c r="D9" s="80" t="n">
        <v>25</v>
      </c>
      <c r="E9" s="80" t="n">
        <v>8000</v>
      </c>
      <c r="F9" s="80" t="n">
        <v>15000</v>
      </c>
      <c r="G9" s="80" t="n">
        <v>20000</v>
      </c>
      <c r="H9" s="80" t="n">
        <v>26000</v>
      </c>
      <c r="I9" s="80" t="n">
        <v>32000</v>
      </c>
      <c r="J9" s="80" t="n">
        <v>38000</v>
      </c>
      <c r="K9" s="80" t="n">
        <v>42000</v>
      </c>
      <c r="M9" s="80" t="n">
        <v>4000</v>
      </c>
      <c r="N9" s="80" t="n">
        <v>15000</v>
      </c>
      <c r="O9" s="80" t="n">
        <v>22000</v>
      </c>
      <c r="P9" s="80" t="n">
        <v>30000</v>
      </c>
      <c r="Q9" s="80" t="n">
        <v>38000</v>
      </c>
      <c r="R9" s="80" t="n">
        <v>46000</v>
      </c>
      <c r="S9" s="80" t="n">
        <v>52000</v>
      </c>
      <c r="T9" s="80" t="n">
        <v>58000</v>
      </c>
      <c r="V9" s="80" t="n">
        <v>5000</v>
      </c>
      <c r="W9" s="80" t="n">
        <v>18000</v>
      </c>
      <c r="X9" s="80" t="n">
        <v>30000</v>
      </c>
      <c r="Y9" s="80" t="n">
        <v>40000</v>
      </c>
      <c r="Z9" s="80" t="n">
        <v>50000</v>
      </c>
      <c r="AA9" s="80" t="n">
        <v>60000</v>
      </c>
      <c r="AB9" s="80" t="n">
        <v>68000</v>
      </c>
      <c r="AC9" s="80" t="n">
        <v>75000</v>
      </c>
      <c r="AE9" s="81">
        <f>IF($C$3="Conservative",D9,IF($C$3="Moderate",M9,V9))</f>
        <v/>
      </c>
      <c r="AF9" s="81">
        <f>IF($C$3="Conservative",E9,IF($C$3="Moderate",N9,W9))</f>
        <v/>
      </c>
      <c r="AG9" s="81">
        <f>IF($C$3="Conservative",F9,IF($C$3="Moderate",O9,X9))</f>
        <v/>
      </c>
      <c r="AH9" s="81">
        <f>IF($C$3="Conservative",G9,IF($C$3="Moderate",P9,Y9))</f>
        <v/>
      </c>
      <c r="AI9" s="81">
        <f>IF($C$3="Conservative",H9,IF($C$3="Moderate",Q9,Z9))</f>
        <v/>
      </c>
      <c r="AJ9" s="81">
        <f>IF($C$3="Conservative",I9,IF($C$3="Moderate",R9,AA9))</f>
        <v/>
      </c>
      <c r="AK9" s="81">
        <f>IF($C$3="Conservative",J9,IF($C$3="Moderate",S9,AB9))</f>
        <v/>
      </c>
      <c r="AL9" s="81">
        <f>IF($C$3="Conservative",K9,IF($C$3="Moderate",T9,AC9))</f>
        <v/>
      </c>
    </row>
    <row r="10">
      <c r="B10" s="79" t="inlineStr">
        <is>
          <t>3.0 Total Units</t>
        </is>
      </c>
      <c r="D10" s="82" t="n">
        <v>0</v>
      </c>
      <c r="E10" s="82" t="n">
        <v>0</v>
      </c>
      <c r="F10" s="80" t="n">
        <v>40000</v>
      </c>
      <c r="G10" s="80" t="n">
        <v>150000</v>
      </c>
      <c r="H10" s="80" t="n">
        <v>400000</v>
      </c>
      <c r="I10" s="80" t="n">
        <v>800000</v>
      </c>
      <c r="J10" s="80" t="n">
        <v>1300000</v>
      </c>
      <c r="K10" s="80" t="n">
        <v>1600000</v>
      </c>
      <c r="M10" s="82" t="n">
        <v>0</v>
      </c>
      <c r="N10" s="82" t="n">
        <v>0</v>
      </c>
      <c r="O10" s="80" t="n">
        <v>73000</v>
      </c>
      <c r="P10" s="80" t="n">
        <v>290000</v>
      </c>
      <c r="Q10" s="80" t="n">
        <v>780000</v>
      </c>
      <c r="R10" s="80" t="n">
        <v>1550000</v>
      </c>
      <c r="S10" s="80" t="n">
        <v>2550000</v>
      </c>
      <c r="T10" s="80" t="n">
        <v>3100000</v>
      </c>
      <c r="V10" s="82" t="n">
        <v>0</v>
      </c>
      <c r="W10" s="82" t="n">
        <v>0</v>
      </c>
      <c r="X10" s="80" t="n">
        <v>110000</v>
      </c>
      <c r="Y10" s="80" t="n">
        <v>450000</v>
      </c>
      <c r="Z10" s="80" t="n">
        <v>1200000</v>
      </c>
      <c r="AA10" s="80" t="n">
        <v>2400000</v>
      </c>
      <c r="AB10" s="80" t="n">
        <v>3800000</v>
      </c>
      <c r="AC10" s="80" t="n">
        <v>4500000</v>
      </c>
      <c r="AE10" s="83">
        <f>IF($C$3="Conservative",D10,IF($C$3="Moderate",M10,V10))</f>
        <v/>
      </c>
      <c r="AF10" s="83">
        <f>IF($C$3="Conservative",E10,IF($C$3="Moderate",N10,W10))</f>
        <v/>
      </c>
      <c r="AG10" s="81">
        <f>IF($C$3="Conservative",F10,IF($C$3="Moderate",O10,X10))</f>
        <v/>
      </c>
      <c r="AH10" s="81">
        <f>IF($C$3="Conservative",G10,IF($C$3="Moderate",P10,Y10))</f>
        <v/>
      </c>
      <c r="AI10" s="81">
        <f>IF($C$3="Conservative",H10,IF($C$3="Moderate",Q10,Z10))</f>
        <v/>
      </c>
      <c r="AJ10" s="81">
        <f>IF($C$3="Conservative",I10,IF($C$3="Moderate",R10,AA10))</f>
        <v/>
      </c>
      <c r="AK10" s="81">
        <f>IF($C$3="Conservative",J10,IF($C$3="Moderate",S10,AB10))</f>
        <v/>
      </c>
      <c r="AL10" s="81">
        <f>IF($C$3="Conservative",K10,IF($C$3="Moderate",T10,AC10))</f>
        <v/>
      </c>
    </row>
    <row r="11">
      <c r="B11" s="79" t="inlineStr">
        <is>
          <t xml:space="preserve">  3.0 USA</t>
        </is>
      </c>
      <c r="D11" s="82" t="n">
        <v>0</v>
      </c>
      <c r="E11" s="82" t="n">
        <v>0</v>
      </c>
      <c r="F11" s="80" t="n">
        <v>32000</v>
      </c>
      <c r="G11" s="80" t="n">
        <v>120000</v>
      </c>
      <c r="H11" s="80" t="n">
        <v>300000</v>
      </c>
      <c r="I11" s="80" t="n">
        <v>550000</v>
      </c>
      <c r="J11" s="80" t="n">
        <v>850000</v>
      </c>
      <c r="K11" s="80" t="n">
        <v>1000000</v>
      </c>
      <c r="M11" s="82" t="n">
        <v>0</v>
      </c>
      <c r="N11" s="82" t="n">
        <v>0</v>
      </c>
      <c r="O11" s="80" t="n">
        <v>55000</v>
      </c>
      <c r="P11" s="80" t="n">
        <v>200000</v>
      </c>
      <c r="Q11" s="80" t="n">
        <v>500000</v>
      </c>
      <c r="R11" s="80" t="n">
        <v>900000</v>
      </c>
      <c r="S11" s="80" t="n">
        <v>1350000</v>
      </c>
      <c r="T11" s="80" t="n">
        <v>1600000</v>
      </c>
      <c r="V11" s="82" t="n">
        <v>0</v>
      </c>
      <c r="W11" s="82" t="n">
        <v>0</v>
      </c>
      <c r="X11" s="80" t="n">
        <v>80000</v>
      </c>
      <c r="Y11" s="80" t="n">
        <v>300000</v>
      </c>
      <c r="Z11" s="80" t="n">
        <v>750000</v>
      </c>
      <c r="AA11" s="80" t="n">
        <v>1400000</v>
      </c>
      <c r="AB11" s="80" t="n">
        <v>2100000</v>
      </c>
      <c r="AC11" s="80" t="n">
        <v>2400000</v>
      </c>
      <c r="AE11" s="83">
        <f>IF($C$3="Conservative",D11,IF($C$3="Moderate",M11,V11))</f>
        <v/>
      </c>
      <c r="AF11" s="83">
        <f>IF($C$3="Conservative",E11,IF($C$3="Moderate",N11,W11))</f>
        <v/>
      </c>
      <c r="AG11" s="81">
        <f>IF($C$3="Conservative",F11,IF($C$3="Moderate",O11,X11))</f>
        <v/>
      </c>
      <c r="AH11" s="81">
        <f>IF($C$3="Conservative",G11,IF($C$3="Moderate",P11,Y11))</f>
        <v/>
      </c>
      <c r="AI11" s="81">
        <f>IF($C$3="Conservative",H11,IF($C$3="Moderate",Q11,Z11))</f>
        <v/>
      </c>
      <c r="AJ11" s="81">
        <f>IF($C$3="Conservative",I11,IF($C$3="Moderate",R11,AA11))</f>
        <v/>
      </c>
      <c r="AK11" s="81">
        <f>IF($C$3="Conservative",J11,IF($C$3="Moderate",S11,AB11))</f>
        <v/>
      </c>
      <c r="AL11" s="81">
        <f>IF($C$3="Conservative",K11,IF($C$3="Moderate",T11,AC11))</f>
        <v/>
      </c>
    </row>
    <row r="12">
      <c r="B12" s="79" t="inlineStr">
        <is>
          <t xml:space="preserve">  3.0 INTL</t>
        </is>
      </c>
      <c r="D12" s="82" t="n">
        <v>0</v>
      </c>
      <c r="E12" s="82" t="n">
        <v>0</v>
      </c>
      <c r="F12" s="80" t="n">
        <v>8000</v>
      </c>
      <c r="G12" s="80" t="n">
        <v>30000</v>
      </c>
      <c r="H12" s="80" t="n">
        <v>100000</v>
      </c>
      <c r="I12" s="80" t="n">
        <v>250000</v>
      </c>
      <c r="J12" s="80" t="n">
        <v>450000</v>
      </c>
      <c r="K12" s="80" t="n">
        <v>600000</v>
      </c>
      <c r="M12" s="82" t="n">
        <v>0</v>
      </c>
      <c r="N12" s="82" t="n">
        <v>0</v>
      </c>
      <c r="O12" s="80" t="n">
        <v>18000</v>
      </c>
      <c r="P12" s="80" t="n">
        <v>90000</v>
      </c>
      <c r="Q12" s="80" t="n">
        <v>280000</v>
      </c>
      <c r="R12" s="80" t="n">
        <v>650000</v>
      </c>
      <c r="S12" s="80" t="n">
        <v>1200000</v>
      </c>
      <c r="T12" s="80" t="n">
        <v>1500000</v>
      </c>
      <c r="V12" s="82" t="n">
        <v>0</v>
      </c>
      <c r="W12" s="82" t="n">
        <v>0</v>
      </c>
      <c r="X12" s="80" t="n">
        <v>30000</v>
      </c>
      <c r="Y12" s="80" t="n">
        <v>150000</v>
      </c>
      <c r="Z12" s="80" t="n">
        <v>450000</v>
      </c>
      <c r="AA12" s="80" t="n">
        <v>1000000</v>
      </c>
      <c r="AB12" s="80" t="n">
        <v>1700000</v>
      </c>
      <c r="AC12" s="80" t="n">
        <v>2100000</v>
      </c>
      <c r="AE12" s="83">
        <f>IF($C$3="Conservative",D12,IF($C$3="Moderate",M12,V12))</f>
        <v/>
      </c>
      <c r="AF12" s="83">
        <f>IF($C$3="Conservative",E12,IF($C$3="Moderate",N12,W12))</f>
        <v/>
      </c>
      <c r="AG12" s="81">
        <f>IF($C$3="Conservative",F12,IF($C$3="Moderate",O12,X12))</f>
        <v/>
      </c>
      <c r="AH12" s="81">
        <f>IF($C$3="Conservative",G12,IF($C$3="Moderate",P12,Y12))</f>
        <v/>
      </c>
      <c r="AI12" s="81">
        <f>IF($C$3="Conservative",H12,IF($C$3="Moderate",Q12,Z12))</f>
        <v/>
      </c>
      <c r="AJ12" s="81">
        <f>IF($C$3="Conservative",I12,IF($C$3="Moderate",R12,AA12))</f>
        <v/>
      </c>
      <c r="AK12" s="81">
        <f>IF($C$3="Conservative",J12,IF($C$3="Moderate",S12,AB12))</f>
        <v/>
      </c>
      <c r="AL12" s="81">
        <f>IF($C$3="Conservative",K12,IF($C$3="Moderate",T12,AC12))</f>
        <v/>
      </c>
    </row>
    <row r="13">
      <c r="B13" s="79" t="inlineStr">
        <is>
          <t>Entrepreneur-in-a-Box</t>
        </is>
      </c>
      <c r="D13" s="82" t="n">
        <v>0</v>
      </c>
      <c r="E13" s="80" t="n">
        <v>300</v>
      </c>
      <c r="F13" s="80" t="n">
        <v>1500</v>
      </c>
      <c r="G13" s="80" t="n">
        <v>3500</v>
      </c>
      <c r="H13" s="80" t="n">
        <v>7000</v>
      </c>
      <c r="I13" s="80" t="n">
        <v>13000</v>
      </c>
      <c r="J13" s="80" t="n">
        <v>20000</v>
      </c>
      <c r="K13" s="80" t="n">
        <v>25000</v>
      </c>
      <c r="M13" s="82" t="n">
        <v>0</v>
      </c>
      <c r="N13" s="80" t="n">
        <v>400</v>
      </c>
      <c r="O13" s="80" t="n">
        <v>2000</v>
      </c>
      <c r="P13" s="80" t="n">
        <v>5000</v>
      </c>
      <c r="Q13" s="80" t="n">
        <v>10000</v>
      </c>
      <c r="R13" s="80" t="n">
        <v>18000</v>
      </c>
      <c r="S13" s="80" t="n">
        <v>28000</v>
      </c>
      <c r="T13" s="80" t="n">
        <v>35000</v>
      </c>
      <c r="V13" s="82" t="n">
        <v>0</v>
      </c>
      <c r="W13" s="80" t="n">
        <v>600</v>
      </c>
      <c r="X13" s="80" t="n">
        <v>3000</v>
      </c>
      <c r="Y13" s="80" t="n">
        <v>7000</v>
      </c>
      <c r="Z13" s="80" t="n">
        <v>14000</v>
      </c>
      <c r="AA13" s="80" t="n">
        <v>25000</v>
      </c>
      <c r="AB13" s="80" t="n">
        <v>38000</v>
      </c>
      <c r="AC13" s="80" t="n">
        <v>48000</v>
      </c>
      <c r="AE13" s="83">
        <f>IF($C$3="Conservative",D13,IF($C$3="Moderate",M13,V13))</f>
        <v/>
      </c>
      <c r="AF13" s="81">
        <f>IF($C$3="Conservative",E13,IF($C$3="Moderate",N13,W13))</f>
        <v/>
      </c>
      <c r="AG13" s="81">
        <f>IF($C$3="Conservative",F13,IF($C$3="Moderate",O13,X13))</f>
        <v/>
      </c>
      <c r="AH13" s="81">
        <f>IF($C$3="Conservative",G13,IF($C$3="Moderate",P13,Y13))</f>
        <v/>
      </c>
      <c r="AI13" s="81">
        <f>IF($C$3="Conservative",H13,IF($C$3="Moderate",Q13,Z13))</f>
        <v/>
      </c>
      <c r="AJ13" s="81">
        <f>IF($C$3="Conservative",I13,IF($C$3="Moderate",R13,AA13))</f>
        <v/>
      </c>
      <c r="AK13" s="81">
        <f>IF($C$3="Conservative",J13,IF($C$3="Moderate",S13,AB13))</f>
        <v/>
      </c>
      <c r="AL13" s="81">
        <f>IF($C$3="Conservative",K13,IF($C$3="Moderate",T13,AC13))</f>
        <v/>
      </c>
    </row>
    <row r="14">
      <c r="B14" s="79" t="inlineStr">
        <is>
          <t>Polish Maker</t>
        </is>
      </c>
      <c r="D14" s="82" t="n">
        <v>0</v>
      </c>
      <c r="E14" s="82" t="n">
        <v>0</v>
      </c>
      <c r="F14" s="80" t="n">
        <v>3000</v>
      </c>
      <c r="G14" s="80" t="n">
        <v>10000</v>
      </c>
      <c r="H14" s="80" t="n">
        <v>24000</v>
      </c>
      <c r="I14" s="80" t="n">
        <v>42000</v>
      </c>
      <c r="J14" s="80" t="n">
        <v>60000</v>
      </c>
      <c r="K14" s="80" t="n">
        <v>75000</v>
      </c>
      <c r="M14" s="82" t="n">
        <v>0</v>
      </c>
      <c r="N14" s="82" t="n">
        <v>0</v>
      </c>
      <c r="O14" s="80" t="n">
        <v>4000</v>
      </c>
      <c r="P14" s="80" t="n">
        <v>15000</v>
      </c>
      <c r="Q14" s="80" t="n">
        <v>35000</v>
      </c>
      <c r="R14" s="80" t="n">
        <v>62000</v>
      </c>
      <c r="S14" s="80" t="n">
        <v>90000</v>
      </c>
      <c r="T14" s="80" t="n">
        <v>110000</v>
      </c>
      <c r="V14" s="82" t="n">
        <v>0</v>
      </c>
      <c r="W14" s="82" t="n">
        <v>0</v>
      </c>
      <c r="X14" s="80" t="n">
        <v>6000</v>
      </c>
      <c r="Y14" s="80" t="n">
        <v>22000</v>
      </c>
      <c r="Z14" s="80" t="n">
        <v>50000</v>
      </c>
      <c r="AA14" s="80" t="n">
        <v>88000</v>
      </c>
      <c r="AB14" s="80" t="n">
        <v>125000</v>
      </c>
      <c r="AC14" s="80" t="n">
        <v>150000</v>
      </c>
      <c r="AE14" s="83">
        <f>IF($C$3="Conservative",D14,IF($C$3="Moderate",M14,V14))</f>
        <v/>
      </c>
      <c r="AF14" s="83">
        <f>IF($C$3="Conservative",E14,IF($C$3="Moderate",N14,W14))</f>
        <v/>
      </c>
      <c r="AG14" s="81">
        <f>IF($C$3="Conservative",F14,IF($C$3="Moderate",O14,X14))</f>
        <v/>
      </c>
      <c r="AH14" s="81">
        <f>IF($C$3="Conservative",G14,IF($C$3="Moderate",P14,Y14))</f>
        <v/>
      </c>
      <c r="AI14" s="81">
        <f>IF($C$3="Conservative",H14,IF($C$3="Moderate",Q14,Z14))</f>
        <v/>
      </c>
      <c r="AJ14" s="81">
        <f>IF($C$3="Conservative",I14,IF($C$3="Moderate",R14,AA14))</f>
        <v/>
      </c>
      <c r="AK14" s="81">
        <f>IF($C$3="Conservative",J14,IF($C$3="Moderate",S14,AB14))</f>
        <v/>
      </c>
      <c r="AL14" s="81">
        <f>IF($C$3="Conservative",K14,IF($C$3="Moderate",T14,AC14))</f>
        <v/>
      </c>
    </row>
    <row r="15">
      <c r="B15" s="79" t="inlineStr">
        <is>
          <t>Inkbot</t>
        </is>
      </c>
      <c r="D15" s="82" t="n">
        <v>0</v>
      </c>
      <c r="E15" s="82" t="n">
        <v>0</v>
      </c>
      <c r="F15" s="82" t="n">
        <v>0</v>
      </c>
      <c r="G15" s="80" t="n">
        <v>4000</v>
      </c>
      <c r="H15" s="80" t="n">
        <v>16000</v>
      </c>
      <c r="I15" s="80" t="n">
        <v>45000</v>
      </c>
      <c r="J15" s="80" t="n">
        <v>100000</v>
      </c>
      <c r="K15" s="80" t="n">
        <v>160000</v>
      </c>
      <c r="M15" s="82" t="n">
        <v>0</v>
      </c>
      <c r="N15" s="82" t="n">
        <v>0</v>
      </c>
      <c r="O15" s="82" t="n">
        <v>0</v>
      </c>
      <c r="P15" s="80" t="n">
        <v>6000</v>
      </c>
      <c r="Q15" s="80" t="n">
        <v>25000</v>
      </c>
      <c r="R15" s="80" t="n">
        <v>70000</v>
      </c>
      <c r="S15" s="80" t="n">
        <v>160000</v>
      </c>
      <c r="T15" s="80" t="n">
        <v>250000</v>
      </c>
      <c r="V15" s="82" t="n">
        <v>0</v>
      </c>
      <c r="W15" s="82" t="n">
        <v>0</v>
      </c>
      <c r="X15" s="82" t="n">
        <v>0</v>
      </c>
      <c r="Y15" s="80" t="n">
        <v>10000</v>
      </c>
      <c r="Z15" s="80" t="n">
        <v>40000</v>
      </c>
      <c r="AA15" s="80" t="n">
        <v>110000</v>
      </c>
      <c r="AB15" s="80" t="n">
        <v>240000</v>
      </c>
      <c r="AC15" s="80" t="n">
        <v>380000</v>
      </c>
      <c r="AE15" s="83">
        <f>IF($C$3="Conservative",D15,IF($C$3="Moderate",M15,V15))</f>
        <v/>
      </c>
      <c r="AF15" s="83">
        <f>IF($C$3="Conservative",E15,IF($C$3="Moderate",N15,W15))</f>
        <v/>
      </c>
      <c r="AG15" s="83">
        <f>IF($C$3="Conservative",F15,IF($C$3="Moderate",O15,X15))</f>
        <v/>
      </c>
      <c r="AH15" s="81">
        <f>IF($C$3="Conservative",G15,IF($C$3="Moderate",P15,Y15))</f>
        <v/>
      </c>
      <c r="AI15" s="81">
        <f>IF($C$3="Conservative",H15,IF($C$3="Moderate",Q15,Z15))</f>
        <v/>
      </c>
      <c r="AJ15" s="81">
        <f>IF($C$3="Conservative",I15,IF($C$3="Moderate",R15,AA15))</f>
        <v/>
      </c>
      <c r="AK15" s="81">
        <f>IF($C$3="Conservative",J15,IF($C$3="Moderate",S15,AB15))</f>
        <v/>
      </c>
      <c r="AL15" s="81">
        <f>IF($C$3="Conservative",K15,IF($C$3="Moderate",T15,AC15))</f>
        <v/>
      </c>
    </row>
    <row r="16">
      <c r="B16" s="79" t="inlineStr">
        <is>
          <t>Makeup Robot</t>
        </is>
      </c>
      <c r="D16" s="82" t="n">
        <v>0</v>
      </c>
      <c r="E16" s="82" t="n">
        <v>0</v>
      </c>
      <c r="F16" s="82" t="n">
        <v>0</v>
      </c>
      <c r="G16" s="82" t="n">
        <v>0</v>
      </c>
      <c r="H16" s="80" t="n">
        <v>2000</v>
      </c>
      <c r="I16" s="80" t="n">
        <v>8000</v>
      </c>
      <c r="J16" s="80" t="n">
        <v>22000</v>
      </c>
      <c r="K16" s="80" t="n">
        <v>50000</v>
      </c>
      <c r="M16" s="82" t="n">
        <v>0</v>
      </c>
      <c r="N16" s="82" t="n">
        <v>0</v>
      </c>
      <c r="O16" s="82" t="n">
        <v>0</v>
      </c>
      <c r="P16" s="82" t="n">
        <v>0</v>
      </c>
      <c r="Q16" s="80" t="n">
        <v>3000</v>
      </c>
      <c r="R16" s="80" t="n">
        <v>12000</v>
      </c>
      <c r="S16" s="80" t="n">
        <v>35000</v>
      </c>
      <c r="T16" s="80" t="n">
        <v>80000</v>
      </c>
      <c r="V16" s="82" t="n">
        <v>0</v>
      </c>
      <c r="W16" s="82" t="n">
        <v>0</v>
      </c>
      <c r="X16" s="82" t="n">
        <v>0</v>
      </c>
      <c r="Y16" s="82" t="n">
        <v>0</v>
      </c>
      <c r="Z16" s="80" t="n">
        <v>5000</v>
      </c>
      <c r="AA16" s="80" t="n">
        <v>20000</v>
      </c>
      <c r="AB16" s="80" t="n">
        <v>55000</v>
      </c>
      <c r="AC16" s="80" t="n">
        <v>120000</v>
      </c>
      <c r="AE16" s="83">
        <f>IF($C$3="Conservative",D16,IF($C$3="Moderate",M16,V16))</f>
        <v/>
      </c>
      <c r="AF16" s="83">
        <f>IF($C$3="Conservative",E16,IF($C$3="Moderate",N16,W16))</f>
        <v/>
      </c>
      <c r="AG16" s="83">
        <f>IF($C$3="Conservative",F16,IF($C$3="Moderate",O16,X16))</f>
        <v/>
      </c>
      <c r="AH16" s="83">
        <f>IF($C$3="Conservative",G16,IF($C$3="Moderate",P16,Y16))</f>
        <v/>
      </c>
      <c r="AI16" s="81">
        <f>IF($C$3="Conservative",H16,IF($C$3="Moderate",Q16,Z16))</f>
        <v/>
      </c>
      <c r="AJ16" s="81">
        <f>IF($C$3="Conservative",I16,IF($C$3="Moderate",R16,AA16))</f>
        <v/>
      </c>
      <c r="AK16" s="81">
        <f>IF($C$3="Conservative",J16,IF($C$3="Moderate",S16,AB16))</f>
        <v/>
      </c>
      <c r="AL16" s="81">
        <f>IF($C$3="Conservative",K16,IF($C$3="Moderate",T16,AC16))</f>
        <v/>
      </c>
    </row>
    <row r="17">
      <c r="B17" s="79" t="inlineStr">
        <is>
          <t>STEM Kit</t>
        </is>
      </c>
      <c r="D17" s="82" t="n">
        <v>0</v>
      </c>
      <c r="E17" s="80" t="n">
        <v>2000</v>
      </c>
      <c r="F17" s="80" t="n">
        <v>4000</v>
      </c>
      <c r="G17" s="80" t="n">
        <v>8000</v>
      </c>
      <c r="H17" s="80" t="n">
        <v>14000</v>
      </c>
      <c r="I17" s="80" t="n">
        <v>20000</v>
      </c>
      <c r="J17" s="80" t="n">
        <v>26000</v>
      </c>
      <c r="K17" s="80" t="n">
        <v>30000</v>
      </c>
      <c r="M17" s="82" t="n">
        <v>0</v>
      </c>
      <c r="N17" s="80" t="n">
        <v>3000</v>
      </c>
      <c r="O17" s="80" t="n">
        <v>6000</v>
      </c>
      <c r="P17" s="80" t="n">
        <v>12000</v>
      </c>
      <c r="Q17" s="80" t="n">
        <v>20000</v>
      </c>
      <c r="R17" s="80" t="n">
        <v>28000</v>
      </c>
      <c r="S17" s="80" t="n">
        <v>35000</v>
      </c>
      <c r="T17" s="80" t="n">
        <v>40000</v>
      </c>
      <c r="V17" s="82" t="n">
        <v>0</v>
      </c>
      <c r="W17" s="80" t="n">
        <v>4000</v>
      </c>
      <c r="X17" s="80" t="n">
        <v>9000</v>
      </c>
      <c r="Y17" s="80" t="n">
        <v>16000</v>
      </c>
      <c r="Z17" s="80" t="n">
        <v>28000</v>
      </c>
      <c r="AA17" s="80" t="n">
        <v>38000</v>
      </c>
      <c r="AB17" s="80" t="n">
        <v>48000</v>
      </c>
      <c r="AC17" s="80" t="n">
        <v>55000</v>
      </c>
      <c r="AE17" s="83">
        <f>IF($C$3="Conservative",D17,IF($C$3="Moderate",M17,V17))</f>
        <v/>
      </c>
      <c r="AF17" s="81">
        <f>IF($C$3="Conservative",E17,IF($C$3="Moderate",N17,W17))</f>
        <v/>
      </c>
      <c r="AG17" s="81">
        <f>IF($C$3="Conservative",F17,IF($C$3="Moderate",O17,X17))</f>
        <v/>
      </c>
      <c r="AH17" s="81">
        <f>IF($C$3="Conservative",G17,IF($C$3="Moderate",P17,Y17))</f>
        <v/>
      </c>
      <c r="AI17" s="81">
        <f>IF($C$3="Conservative",H17,IF($C$3="Moderate",Q17,Z17))</f>
        <v/>
      </c>
      <c r="AJ17" s="81">
        <f>IF($C$3="Conservative",I17,IF($C$3="Moderate",R17,AA17))</f>
        <v/>
      </c>
      <c r="AK17" s="81">
        <f>IF($C$3="Conservative",J17,IF($C$3="Moderate",S17,AB17))</f>
        <v/>
      </c>
      <c r="AL17" s="81">
        <f>IF($C$3="Conservative",K17,IF($C$3="Moderate",T17,AC17))</f>
        <v/>
      </c>
    </row>
    <row r="19">
      <c r="B19" s="77" t="inlineStr">
        <is>
          <t>HARDWARE MARGINS</t>
        </is>
      </c>
      <c r="C19" s="78" t="n"/>
      <c r="D19" s="78" t="n"/>
      <c r="E19" s="78" t="n"/>
      <c r="F19" s="78" t="n"/>
      <c r="G19" s="78" t="n"/>
      <c r="H19" s="78" t="n"/>
      <c r="I19" s="78" t="n"/>
      <c r="J19" s="78" t="n"/>
      <c r="K19" s="78" t="n"/>
      <c r="M19" s="78" t="n"/>
      <c r="N19" s="78" t="n"/>
      <c r="O19" s="78" t="n"/>
      <c r="P19" s="78" t="n"/>
      <c r="Q19" s="78" t="n"/>
      <c r="R19" s="78" t="n"/>
      <c r="S19" s="78" t="n"/>
      <c r="T19" s="78" t="n"/>
      <c r="V19" s="78" t="n"/>
      <c r="W19" s="78" t="n"/>
      <c r="X19" s="78" t="n"/>
      <c r="Y19" s="78" t="n"/>
      <c r="Z19" s="78" t="n"/>
      <c r="AA19" s="78" t="n"/>
      <c r="AB19" s="78" t="n"/>
      <c r="AC19" s="78" t="n"/>
      <c r="AE19" s="78" t="n"/>
      <c r="AF19" s="78" t="n"/>
      <c r="AG19" s="78" t="n"/>
      <c r="AH19" s="78" t="n"/>
      <c r="AI19" s="78" t="n"/>
      <c r="AJ19" s="78" t="n"/>
      <c r="AK19" s="78" t="n"/>
      <c r="AL19" s="78" t="n"/>
    </row>
    <row r="20">
      <c r="B20" s="79" t="inlineStr">
        <is>
          <t>HW Gross Margin %</t>
        </is>
      </c>
      <c r="D20" s="84" t="n">
        <v>0.33</v>
      </c>
      <c r="E20" s="84" t="n">
        <v>0.34</v>
      </c>
      <c r="F20" s="84" t="n">
        <v>0.35</v>
      </c>
      <c r="G20" s="84" t="n">
        <v>0.36</v>
      </c>
      <c r="H20" s="84" t="n">
        <v>0.36</v>
      </c>
      <c r="I20" s="84" t="n">
        <v>0.37</v>
      </c>
      <c r="J20" s="84" t="n">
        <v>0.37</v>
      </c>
      <c r="K20" s="84" t="n">
        <v>0.37</v>
      </c>
      <c r="M20" s="84" t="n">
        <v>0.34</v>
      </c>
      <c r="N20" s="84" t="n">
        <v>0.35</v>
      </c>
      <c r="O20" s="84" t="n">
        <v>0.37</v>
      </c>
      <c r="P20" s="84" t="n">
        <v>0.38</v>
      </c>
      <c r="Q20" s="84" t="n">
        <v>0.38</v>
      </c>
      <c r="R20" s="84" t="n">
        <v>0.38</v>
      </c>
      <c r="S20" s="84" t="n">
        <v>0.38</v>
      </c>
      <c r="T20" s="84" t="n">
        <v>0.38</v>
      </c>
      <c r="V20" s="84" t="n">
        <v>0.35</v>
      </c>
      <c r="W20" s="84" t="n">
        <v>0.36</v>
      </c>
      <c r="X20" s="84" t="n">
        <v>0.38</v>
      </c>
      <c r="Y20" s="84" t="n">
        <v>0.39</v>
      </c>
      <c r="Z20" s="84" t="n">
        <v>0.4</v>
      </c>
      <c r="AA20" s="84" t="n">
        <v>0.41</v>
      </c>
      <c r="AB20" s="84" t="n">
        <v>0.41</v>
      </c>
      <c r="AC20" s="84" t="n">
        <v>0.42</v>
      </c>
      <c r="AE20" s="85">
        <f>IF($C$3="Conservative",D20,IF($C$3="Moderate",M20,V20))</f>
        <v/>
      </c>
      <c r="AF20" s="85">
        <f>IF($C$3="Conservative",E20,IF($C$3="Moderate",N20,W20))</f>
        <v/>
      </c>
      <c r="AG20" s="85">
        <f>IF($C$3="Conservative",F20,IF($C$3="Moderate",O20,X20))</f>
        <v/>
      </c>
      <c r="AH20" s="85">
        <f>IF($C$3="Conservative",G20,IF($C$3="Moderate",P20,Y20))</f>
        <v/>
      </c>
      <c r="AI20" s="85">
        <f>IF($C$3="Conservative",H20,IF($C$3="Moderate",Q20,Z20))</f>
        <v/>
      </c>
      <c r="AJ20" s="85">
        <f>IF($C$3="Conservative",I20,IF($C$3="Moderate",R20,AA20))</f>
        <v/>
      </c>
      <c r="AK20" s="85">
        <f>IF($C$3="Conservative",J20,IF($C$3="Moderate",S20,AB20))</f>
        <v/>
      </c>
      <c r="AL20" s="85">
        <f>IF($C$3="Conservative",K20,IF($C$3="Moderate",T20,AC20))</f>
        <v/>
      </c>
    </row>
    <row r="22">
      <c r="B22" s="77" t="inlineStr">
        <is>
          <t>CONSUMABLES</t>
        </is>
      </c>
      <c r="C22" s="78" t="n"/>
      <c r="D22" s="78" t="n"/>
      <c r="E22" s="78" t="n"/>
      <c r="F22" s="78" t="n"/>
      <c r="G22" s="78" t="n"/>
      <c r="H22" s="78" t="n"/>
      <c r="I22" s="78" t="n"/>
      <c r="J22" s="78" t="n"/>
      <c r="K22" s="78" t="n"/>
      <c r="M22" s="78" t="n"/>
      <c r="N22" s="78" t="n"/>
      <c r="O22" s="78" t="n"/>
      <c r="P22" s="78" t="n"/>
      <c r="Q22" s="78" t="n"/>
      <c r="R22" s="78" t="n"/>
      <c r="S22" s="78" t="n"/>
      <c r="T22" s="78" t="n"/>
      <c r="V22" s="78" t="n"/>
      <c r="W22" s="78" t="n"/>
      <c r="X22" s="78" t="n"/>
      <c r="Y22" s="78" t="n"/>
      <c r="Z22" s="78" t="n"/>
      <c r="AA22" s="78" t="n"/>
      <c r="AB22" s="78" t="n"/>
      <c r="AC22" s="78" t="n"/>
      <c r="AE22" s="78" t="n"/>
      <c r="AF22" s="78" t="n"/>
      <c r="AG22" s="78" t="n"/>
      <c r="AH22" s="78" t="n"/>
      <c r="AI22" s="78" t="n"/>
      <c r="AJ22" s="78" t="n"/>
      <c r="AK22" s="78" t="n"/>
      <c r="AL22" s="78" t="n"/>
    </row>
    <row r="23">
      <c r="B23" s="79" t="inlineStr">
        <is>
          <t>$/Active User/Yr</t>
        </is>
      </c>
      <c r="D23" s="82" t="n">
        <v>5</v>
      </c>
      <c r="E23" s="82" t="n">
        <v>8</v>
      </c>
      <c r="F23" s="82" t="n">
        <v>16</v>
      </c>
      <c r="G23" s="82" t="n">
        <v>22</v>
      </c>
      <c r="H23" s="82" t="n">
        <v>28</v>
      </c>
      <c r="I23" s="82" t="n">
        <v>32</v>
      </c>
      <c r="J23" s="82" t="n">
        <v>35</v>
      </c>
      <c r="K23" s="82" t="n">
        <v>38</v>
      </c>
      <c r="M23" s="82" t="n">
        <v>6</v>
      </c>
      <c r="N23" s="82" t="n">
        <v>10</v>
      </c>
      <c r="O23" s="82" t="n">
        <v>20</v>
      </c>
      <c r="P23" s="82" t="n">
        <v>28</v>
      </c>
      <c r="Q23" s="82" t="n">
        <v>35</v>
      </c>
      <c r="R23" s="82" t="n">
        <v>40</v>
      </c>
      <c r="S23" s="82" t="n">
        <v>43</v>
      </c>
      <c r="T23" s="82" t="n">
        <v>45</v>
      </c>
      <c r="V23" s="82" t="n">
        <v>8</v>
      </c>
      <c r="W23" s="82" t="n">
        <v>14</v>
      </c>
      <c r="X23" s="82" t="n">
        <v>25</v>
      </c>
      <c r="Y23" s="82" t="n">
        <v>34</v>
      </c>
      <c r="Z23" s="82" t="n">
        <v>42</v>
      </c>
      <c r="AA23" s="82" t="n">
        <v>48</v>
      </c>
      <c r="AB23" s="82" t="n">
        <v>50</v>
      </c>
      <c r="AC23" s="82" t="n">
        <v>53</v>
      </c>
      <c r="AE23" s="83">
        <f>IF($C$3="Conservative",D23,IF($C$3="Moderate",M23,V23))</f>
        <v/>
      </c>
      <c r="AF23" s="83">
        <f>IF($C$3="Conservative",E23,IF($C$3="Moderate",N23,W23))</f>
        <v/>
      </c>
      <c r="AG23" s="83">
        <f>IF($C$3="Conservative",F23,IF($C$3="Moderate",O23,X23))</f>
        <v/>
      </c>
      <c r="AH23" s="83">
        <f>IF($C$3="Conservative",G23,IF($C$3="Moderate",P23,Y23))</f>
        <v/>
      </c>
      <c r="AI23" s="83">
        <f>IF($C$3="Conservative",H23,IF($C$3="Moderate",Q23,Z23))</f>
        <v/>
      </c>
      <c r="AJ23" s="83">
        <f>IF($C$3="Conservative",I23,IF($C$3="Moderate",R23,AA23))</f>
        <v/>
      </c>
      <c r="AK23" s="83">
        <f>IF($C$3="Conservative",J23,IF($C$3="Moderate",S23,AB23))</f>
        <v/>
      </c>
      <c r="AL23" s="83">
        <f>IF($C$3="Conservative",K23,IF($C$3="Moderate",T23,AC23))</f>
        <v/>
      </c>
    </row>
    <row r="24">
      <c r="B24" s="79" t="inlineStr">
        <is>
          <t>Active Purchaser Rate</t>
        </is>
      </c>
      <c r="D24" s="84" t="n">
        <v>0.25</v>
      </c>
      <c r="E24" s="84" t="n">
        <v>0.32</v>
      </c>
      <c r="F24" s="84" t="n">
        <v>0.4</v>
      </c>
      <c r="G24" s="84" t="n">
        <v>0.46</v>
      </c>
      <c r="H24" s="84" t="n">
        <v>0.5</v>
      </c>
      <c r="I24" s="84" t="n">
        <v>0.53</v>
      </c>
      <c r="J24" s="84" t="n">
        <v>0.5600000000000001</v>
      </c>
      <c r="K24" s="84" t="n">
        <v>0.58</v>
      </c>
      <c r="M24" s="84" t="n">
        <v>0.3</v>
      </c>
      <c r="N24" s="84" t="n">
        <v>0.38</v>
      </c>
      <c r="O24" s="84" t="n">
        <v>0.46</v>
      </c>
      <c r="P24" s="84" t="n">
        <v>0.53</v>
      </c>
      <c r="Q24" s="84" t="n">
        <v>0.57</v>
      </c>
      <c r="R24" s="84" t="n">
        <v>0.61</v>
      </c>
      <c r="S24" s="84" t="n">
        <v>0.64</v>
      </c>
      <c r="T24" s="84" t="n">
        <v>0.66</v>
      </c>
      <c r="V24" s="84" t="n">
        <v>0.35</v>
      </c>
      <c r="W24" s="84" t="n">
        <v>0.42</v>
      </c>
      <c r="X24" s="84" t="n">
        <v>0.52</v>
      </c>
      <c r="Y24" s="84" t="n">
        <v>0.58</v>
      </c>
      <c r="Z24" s="84" t="n">
        <v>0.63</v>
      </c>
      <c r="AA24" s="84" t="n">
        <v>0.67</v>
      </c>
      <c r="AB24" s="84" t="n">
        <v>0.7</v>
      </c>
      <c r="AC24" s="84" t="n">
        <v>0.72</v>
      </c>
      <c r="AE24" s="85">
        <f>IF($C$3="Conservative",D24,IF($C$3="Moderate",M24,V24))</f>
        <v/>
      </c>
      <c r="AF24" s="85">
        <f>IF($C$3="Conservative",E24,IF($C$3="Moderate",N24,W24))</f>
        <v/>
      </c>
      <c r="AG24" s="85">
        <f>IF($C$3="Conservative",F24,IF($C$3="Moderate",O24,X24))</f>
        <v/>
      </c>
      <c r="AH24" s="85">
        <f>IF($C$3="Conservative",G24,IF($C$3="Moderate",P24,Y24))</f>
        <v/>
      </c>
      <c r="AI24" s="85">
        <f>IF($C$3="Conservative",H24,IF($C$3="Moderate",Q24,Z24))</f>
        <v/>
      </c>
      <c r="AJ24" s="85">
        <f>IF($C$3="Conservative",I24,IF($C$3="Moderate",R24,AA24))</f>
        <v/>
      </c>
      <c r="AK24" s="85">
        <f>IF($C$3="Conservative",J24,IF($C$3="Moderate",S24,AB24))</f>
        <v/>
      </c>
      <c r="AL24" s="85">
        <f>IF($C$3="Conservative",K24,IF($C$3="Moderate",T24,AC24))</f>
        <v/>
      </c>
    </row>
    <row r="26">
      <c r="B26" s="77" t="inlineStr">
        <is>
          <t>CPG ($K)</t>
        </is>
      </c>
      <c r="C26" s="78" t="n"/>
      <c r="D26" s="78" t="n"/>
      <c r="E26" s="78" t="n"/>
      <c r="F26" s="78" t="n"/>
      <c r="G26" s="78" t="n"/>
      <c r="H26" s="78" t="n"/>
      <c r="I26" s="78" t="n"/>
      <c r="J26" s="78" t="n"/>
      <c r="K26" s="78" t="n"/>
      <c r="M26" s="78" t="n"/>
      <c r="N26" s="78" t="n"/>
      <c r="O26" s="78" t="n"/>
      <c r="P26" s="78" t="n"/>
      <c r="Q26" s="78" t="n"/>
      <c r="R26" s="78" t="n"/>
      <c r="S26" s="78" t="n"/>
      <c r="T26" s="78" t="n"/>
      <c r="V26" s="78" t="n"/>
      <c r="W26" s="78" t="n"/>
      <c r="X26" s="78" t="n"/>
      <c r="Y26" s="78" t="n"/>
      <c r="Z26" s="78" t="n"/>
      <c r="AA26" s="78" t="n"/>
      <c r="AB26" s="78" t="n"/>
      <c r="AC26" s="78" t="n"/>
      <c r="AE26" s="78" t="n"/>
      <c r="AF26" s="78" t="n"/>
      <c r="AG26" s="78" t="n"/>
      <c r="AH26" s="78" t="n"/>
      <c r="AI26" s="78" t="n"/>
      <c r="AJ26" s="78" t="n"/>
      <c r="AK26" s="78" t="n"/>
      <c r="AL26" s="78" t="n"/>
    </row>
    <row r="27">
      <c r="B27" s="79" t="inlineStr">
        <is>
          <t>Inklish Kits</t>
        </is>
      </c>
      <c r="D27" s="80" t="n">
        <v>300</v>
      </c>
      <c r="E27" s="80" t="n">
        <v>1600</v>
      </c>
      <c r="F27" s="80" t="n">
        <v>4500</v>
      </c>
      <c r="G27" s="80" t="n">
        <v>11000</v>
      </c>
      <c r="H27" s="80" t="n">
        <v>22000</v>
      </c>
      <c r="I27" s="80" t="n">
        <v>36000</v>
      </c>
      <c r="J27" s="80" t="n">
        <v>50000</v>
      </c>
      <c r="K27" s="80" t="n">
        <v>64000</v>
      </c>
      <c r="M27" s="80" t="n">
        <v>400</v>
      </c>
      <c r="N27" s="80" t="n">
        <v>2200</v>
      </c>
      <c r="O27" s="80" t="n">
        <v>6500</v>
      </c>
      <c r="P27" s="80" t="n">
        <v>16000</v>
      </c>
      <c r="Q27" s="80" t="n">
        <v>32000</v>
      </c>
      <c r="R27" s="80" t="n">
        <v>52000</v>
      </c>
      <c r="S27" s="80" t="n">
        <v>72000</v>
      </c>
      <c r="T27" s="80" t="n">
        <v>90000</v>
      </c>
      <c r="V27" s="80" t="n">
        <v>550</v>
      </c>
      <c r="W27" s="80" t="n">
        <v>3000</v>
      </c>
      <c r="X27" s="80" t="n">
        <v>9000</v>
      </c>
      <c r="Y27" s="80" t="n">
        <v>22000</v>
      </c>
      <c r="Z27" s="80" t="n">
        <v>44000</v>
      </c>
      <c r="AA27" s="80" t="n">
        <v>72000</v>
      </c>
      <c r="AB27" s="80" t="n">
        <v>100000</v>
      </c>
      <c r="AC27" s="80" t="n">
        <v>125000</v>
      </c>
      <c r="AE27" s="81">
        <f>IF($C$3="Conservative",D27,IF($C$3="Moderate",M27,V27))</f>
        <v/>
      </c>
      <c r="AF27" s="81">
        <f>IF($C$3="Conservative",E27,IF($C$3="Moderate",N27,W27))</f>
        <v/>
      </c>
      <c r="AG27" s="81">
        <f>IF($C$3="Conservative",F27,IF($C$3="Moderate",O27,X27))</f>
        <v/>
      </c>
      <c r="AH27" s="81">
        <f>IF($C$3="Conservative",G27,IF($C$3="Moderate",P27,Y27))</f>
        <v/>
      </c>
      <c r="AI27" s="81">
        <f>IF($C$3="Conservative",H27,IF($C$3="Moderate",Q27,Z27))</f>
        <v/>
      </c>
      <c r="AJ27" s="81">
        <f>IF($C$3="Conservative",I27,IF($C$3="Moderate",R27,AA27))</f>
        <v/>
      </c>
      <c r="AK27" s="81">
        <f>IF($C$3="Conservative",J27,IF($C$3="Moderate",S27,AB27))</f>
        <v/>
      </c>
      <c r="AL27" s="81">
        <f>IF($C$3="Conservative",K27,IF($C$3="Moderate",T27,AC27))</f>
        <v/>
      </c>
    </row>
    <row r="28">
      <c r="B28" s="79" t="inlineStr">
        <is>
          <t>Pens/Polish Packs</t>
        </is>
      </c>
      <c r="D28" s="82" t="n">
        <v>60</v>
      </c>
      <c r="E28" s="80" t="n">
        <v>300</v>
      </c>
      <c r="F28" s="80" t="n">
        <v>1000</v>
      </c>
      <c r="G28" s="80" t="n">
        <v>2800</v>
      </c>
      <c r="H28" s="80" t="n">
        <v>6000</v>
      </c>
      <c r="I28" s="80" t="n">
        <v>10000</v>
      </c>
      <c r="J28" s="80" t="n">
        <v>14000</v>
      </c>
      <c r="K28" s="80" t="n">
        <v>18000</v>
      </c>
      <c r="M28" s="82" t="n">
        <v>80</v>
      </c>
      <c r="N28" s="80" t="n">
        <v>400</v>
      </c>
      <c r="O28" s="80" t="n">
        <v>1500</v>
      </c>
      <c r="P28" s="80" t="n">
        <v>4000</v>
      </c>
      <c r="Q28" s="80" t="n">
        <v>8500</v>
      </c>
      <c r="R28" s="80" t="n">
        <v>14000</v>
      </c>
      <c r="S28" s="80" t="n">
        <v>20000</v>
      </c>
      <c r="T28" s="80" t="n">
        <v>25000</v>
      </c>
      <c r="V28" s="80" t="n">
        <v>110</v>
      </c>
      <c r="W28" s="80" t="n">
        <v>550</v>
      </c>
      <c r="X28" s="80" t="n">
        <v>2200</v>
      </c>
      <c r="Y28" s="80" t="n">
        <v>5500</v>
      </c>
      <c r="Z28" s="80" t="n">
        <v>12000</v>
      </c>
      <c r="AA28" s="80" t="n">
        <v>20000</v>
      </c>
      <c r="AB28" s="80" t="n">
        <v>28000</v>
      </c>
      <c r="AC28" s="80" t="n">
        <v>35000</v>
      </c>
      <c r="AE28" s="83">
        <f>IF($C$3="Conservative",D28,IF($C$3="Moderate",M28,V28))</f>
        <v/>
      </c>
      <c r="AF28" s="81">
        <f>IF($C$3="Conservative",E28,IF($C$3="Moderate",N28,W28))</f>
        <v/>
      </c>
      <c r="AG28" s="81">
        <f>IF($C$3="Conservative",F28,IF($C$3="Moderate",O28,X28))</f>
        <v/>
      </c>
      <c r="AH28" s="81">
        <f>IF($C$3="Conservative",G28,IF($C$3="Moderate",P28,Y28))</f>
        <v/>
      </c>
      <c r="AI28" s="81">
        <f>IF($C$3="Conservative",H28,IF($C$3="Moderate",Q28,Z28))</f>
        <v/>
      </c>
      <c r="AJ28" s="81">
        <f>IF($C$3="Conservative",I28,IF($C$3="Moderate",R28,AA28))</f>
        <v/>
      </c>
      <c r="AK28" s="81">
        <f>IF($C$3="Conservative",J28,IF($C$3="Moderate",S28,AB28))</f>
        <v/>
      </c>
      <c r="AL28" s="81">
        <f>IF($C$3="Conservative",K28,IF($C$3="Moderate",T28,AC28))</f>
        <v/>
      </c>
    </row>
    <row r="29">
      <c r="B29" s="79" t="inlineStr">
        <is>
          <t>Press-On Nails</t>
        </is>
      </c>
      <c r="D29" s="82" t="n">
        <v>20</v>
      </c>
      <c r="E29" s="80" t="n">
        <v>150</v>
      </c>
      <c r="F29" s="80" t="n">
        <v>700</v>
      </c>
      <c r="G29" s="80" t="n">
        <v>2000</v>
      </c>
      <c r="H29" s="80" t="n">
        <v>5000</v>
      </c>
      <c r="I29" s="80" t="n">
        <v>8500</v>
      </c>
      <c r="J29" s="80" t="n">
        <v>13000</v>
      </c>
      <c r="K29" s="80" t="n">
        <v>16000</v>
      </c>
      <c r="M29" s="82" t="n">
        <v>50</v>
      </c>
      <c r="N29" s="80" t="n">
        <v>200</v>
      </c>
      <c r="O29" s="80" t="n">
        <v>1000</v>
      </c>
      <c r="P29" s="80" t="n">
        <v>3000</v>
      </c>
      <c r="Q29" s="80" t="n">
        <v>7000</v>
      </c>
      <c r="R29" s="80" t="n">
        <v>12000</v>
      </c>
      <c r="S29" s="80" t="n">
        <v>18000</v>
      </c>
      <c r="T29" s="80" t="n">
        <v>22000</v>
      </c>
      <c r="V29" s="82" t="n">
        <v>100</v>
      </c>
      <c r="W29" s="80" t="n">
        <v>300</v>
      </c>
      <c r="X29" s="80" t="n">
        <v>1500</v>
      </c>
      <c r="Y29" s="80" t="n">
        <v>4500</v>
      </c>
      <c r="Z29" s="80" t="n">
        <v>10000</v>
      </c>
      <c r="AA29" s="80" t="n">
        <v>17000</v>
      </c>
      <c r="AB29" s="80" t="n">
        <v>25000</v>
      </c>
      <c r="AC29" s="80" t="n">
        <v>30000</v>
      </c>
      <c r="AE29" s="83">
        <f>IF($C$3="Conservative",D29,IF($C$3="Moderate",M29,V29))</f>
        <v/>
      </c>
      <c r="AF29" s="81">
        <f>IF($C$3="Conservative",E29,IF($C$3="Moderate",N29,W29))</f>
        <v/>
      </c>
      <c r="AG29" s="81">
        <f>IF($C$3="Conservative",F29,IF($C$3="Moderate",O29,X29))</f>
        <v/>
      </c>
      <c r="AH29" s="81">
        <f>IF($C$3="Conservative",G29,IF($C$3="Moderate",P29,Y29))</f>
        <v/>
      </c>
      <c r="AI29" s="81">
        <f>IF($C$3="Conservative",H29,IF($C$3="Moderate",Q29,Z29))</f>
        <v/>
      </c>
      <c r="AJ29" s="81">
        <f>IF($C$3="Conservative",I29,IF($C$3="Moderate",R29,AA29))</f>
        <v/>
      </c>
      <c r="AK29" s="81">
        <f>IF($C$3="Conservative",J29,IF($C$3="Moderate",S29,AB29))</f>
        <v/>
      </c>
      <c r="AL29" s="81">
        <f>IF($C$3="Conservative",K29,IF($C$3="Moderate",T29,AC29))</f>
        <v/>
      </c>
    </row>
    <row r="30">
      <c r="B30" s="79" t="inlineStr">
        <is>
          <t>Wipes/Tools</t>
        </is>
      </c>
      <c r="D30" s="82" t="n">
        <v>30</v>
      </c>
      <c r="E30" s="80" t="n">
        <v>150</v>
      </c>
      <c r="F30" s="80" t="n">
        <v>500</v>
      </c>
      <c r="G30" s="80" t="n">
        <v>1300</v>
      </c>
      <c r="H30" s="80" t="n">
        <v>3000</v>
      </c>
      <c r="I30" s="80" t="n">
        <v>5000</v>
      </c>
      <c r="J30" s="80" t="n">
        <v>7000</v>
      </c>
      <c r="K30" s="80" t="n">
        <v>9000</v>
      </c>
      <c r="M30" s="82" t="n">
        <v>40</v>
      </c>
      <c r="N30" s="80" t="n">
        <v>200</v>
      </c>
      <c r="O30" s="80" t="n">
        <v>700</v>
      </c>
      <c r="P30" s="80" t="n">
        <v>1800</v>
      </c>
      <c r="Q30" s="80" t="n">
        <v>4000</v>
      </c>
      <c r="R30" s="80" t="n">
        <v>7000</v>
      </c>
      <c r="S30" s="80" t="n">
        <v>10000</v>
      </c>
      <c r="T30" s="80" t="n">
        <v>12000</v>
      </c>
      <c r="V30" s="82" t="n">
        <v>55</v>
      </c>
      <c r="W30" s="80" t="n">
        <v>280</v>
      </c>
      <c r="X30" s="80" t="n">
        <v>1000</v>
      </c>
      <c r="Y30" s="80" t="n">
        <v>2500</v>
      </c>
      <c r="Z30" s="80" t="n">
        <v>5500</v>
      </c>
      <c r="AA30" s="80" t="n">
        <v>10000</v>
      </c>
      <c r="AB30" s="80" t="n">
        <v>14000</v>
      </c>
      <c r="AC30" s="80" t="n">
        <v>16000</v>
      </c>
      <c r="AE30" s="83">
        <f>IF($C$3="Conservative",D30,IF($C$3="Moderate",M30,V30))</f>
        <v/>
      </c>
      <c r="AF30" s="81">
        <f>IF($C$3="Conservative",E30,IF($C$3="Moderate",N30,W30))</f>
        <v/>
      </c>
      <c r="AG30" s="81">
        <f>IF($C$3="Conservative",F30,IF($C$3="Moderate",O30,X30))</f>
        <v/>
      </c>
      <c r="AH30" s="81">
        <f>IF($C$3="Conservative",G30,IF($C$3="Moderate",P30,Y30))</f>
        <v/>
      </c>
      <c r="AI30" s="81">
        <f>IF($C$3="Conservative",H30,IF($C$3="Moderate",Q30,Z30))</f>
        <v/>
      </c>
      <c r="AJ30" s="81">
        <f>IF($C$3="Conservative",I30,IF($C$3="Moderate",R30,AA30))</f>
        <v/>
      </c>
      <c r="AK30" s="81">
        <f>IF($C$3="Conservative",J30,IF($C$3="Moderate",S30,AB30))</f>
        <v/>
      </c>
      <c r="AL30" s="81">
        <f>IF($C$3="Conservative",K30,IF($C$3="Moderate",T30,AC30))</f>
        <v/>
      </c>
    </row>
    <row r="31">
      <c r="B31" s="79" t="inlineStr">
        <is>
          <t>Nail Polish</t>
        </is>
      </c>
      <c r="D31" s="82" t="n">
        <v>30</v>
      </c>
      <c r="E31" s="80" t="n">
        <v>200</v>
      </c>
      <c r="F31" s="80" t="n">
        <v>800</v>
      </c>
      <c r="G31" s="80" t="n">
        <v>2500</v>
      </c>
      <c r="H31" s="80" t="n">
        <v>5500</v>
      </c>
      <c r="I31" s="80" t="n">
        <v>9000</v>
      </c>
      <c r="J31" s="80" t="n">
        <v>13000</v>
      </c>
      <c r="K31" s="80" t="n">
        <v>16000</v>
      </c>
      <c r="M31" s="82" t="n">
        <v>40</v>
      </c>
      <c r="N31" s="80" t="n">
        <v>300</v>
      </c>
      <c r="O31" s="80" t="n">
        <v>1200</v>
      </c>
      <c r="P31" s="80" t="n">
        <v>3500</v>
      </c>
      <c r="Q31" s="80" t="n">
        <v>8000</v>
      </c>
      <c r="R31" s="80" t="n">
        <v>13000</v>
      </c>
      <c r="S31" s="80" t="n">
        <v>18000</v>
      </c>
      <c r="T31" s="80" t="n">
        <v>22000</v>
      </c>
      <c r="V31" s="82" t="n">
        <v>55</v>
      </c>
      <c r="W31" s="80" t="n">
        <v>420</v>
      </c>
      <c r="X31" s="80" t="n">
        <v>1700</v>
      </c>
      <c r="Y31" s="80" t="n">
        <v>5000</v>
      </c>
      <c r="Z31" s="80" t="n">
        <v>11000</v>
      </c>
      <c r="AA31" s="80" t="n">
        <v>18000</v>
      </c>
      <c r="AB31" s="80" t="n">
        <v>25000</v>
      </c>
      <c r="AC31" s="80" t="n">
        <v>30000</v>
      </c>
      <c r="AE31" s="83">
        <f>IF($C$3="Conservative",D31,IF($C$3="Moderate",M31,V31))</f>
        <v/>
      </c>
      <c r="AF31" s="81">
        <f>IF($C$3="Conservative",E31,IF($C$3="Moderate",N31,W31))</f>
        <v/>
      </c>
      <c r="AG31" s="81">
        <f>IF($C$3="Conservative",F31,IF($C$3="Moderate",O31,X31))</f>
        <v/>
      </c>
      <c r="AH31" s="81">
        <f>IF($C$3="Conservative",G31,IF($C$3="Moderate",P31,Y31))</f>
        <v/>
      </c>
      <c r="AI31" s="81">
        <f>IF($C$3="Conservative",H31,IF($C$3="Moderate",Q31,Z31))</f>
        <v/>
      </c>
      <c r="AJ31" s="81">
        <f>IF($C$3="Conservative",I31,IF($C$3="Moderate",R31,AA31))</f>
        <v/>
      </c>
      <c r="AK31" s="81">
        <f>IF($C$3="Conservative",J31,IF($C$3="Moderate",S31,AB31))</f>
        <v/>
      </c>
      <c r="AL31" s="81">
        <f>IF($C$3="Conservative",K31,IF($C$3="Moderate",T31,AC31))</f>
        <v/>
      </c>
    </row>
    <row r="33">
      <c r="B33" s="77" t="inlineStr">
        <is>
          <t>DIGITAL USERS</t>
        </is>
      </c>
      <c r="C33" s="78" t="n"/>
      <c r="D33" s="78" t="n"/>
      <c r="E33" s="78" t="n"/>
      <c r="F33" s="78" t="n"/>
      <c r="G33" s="78" t="n"/>
      <c r="H33" s="78" t="n"/>
      <c r="I33" s="78" t="n"/>
      <c r="J33" s="78" t="n"/>
      <c r="K33" s="78" t="n"/>
      <c r="M33" s="78" t="n"/>
      <c r="N33" s="78" t="n"/>
      <c r="O33" s="78" t="n"/>
      <c r="P33" s="78" t="n"/>
      <c r="Q33" s="78" t="n"/>
      <c r="R33" s="78" t="n"/>
      <c r="S33" s="78" t="n"/>
      <c r="T33" s="78" t="n"/>
      <c r="V33" s="78" t="n"/>
      <c r="W33" s="78" t="n"/>
      <c r="X33" s="78" t="n"/>
      <c r="Y33" s="78" t="n"/>
      <c r="Z33" s="78" t="n"/>
      <c r="AA33" s="78" t="n"/>
      <c r="AB33" s="78" t="n"/>
      <c r="AC33" s="78" t="n"/>
      <c r="AE33" s="78" t="n"/>
      <c r="AF33" s="78" t="n"/>
      <c r="AG33" s="78" t="n"/>
      <c r="AH33" s="78" t="n"/>
      <c r="AI33" s="78" t="n"/>
      <c r="AJ33" s="78" t="n"/>
      <c r="AK33" s="78" t="n"/>
      <c r="AL33" s="78" t="n"/>
    </row>
    <row r="34">
      <c r="B34" s="79" t="inlineStr">
        <is>
          <t>Free Users</t>
        </is>
      </c>
      <c r="D34" s="80" t="n">
        <v>1500</v>
      </c>
      <c r="E34" s="80" t="n">
        <v>9000</v>
      </c>
      <c r="F34" s="80" t="n">
        <v>55000</v>
      </c>
      <c r="G34" s="80" t="n">
        <v>200000</v>
      </c>
      <c r="H34" s="80" t="n">
        <v>480000</v>
      </c>
      <c r="I34" s="80" t="n">
        <v>1000000</v>
      </c>
      <c r="J34" s="80" t="n">
        <v>2000000</v>
      </c>
      <c r="K34" s="80" t="n">
        <v>3000000</v>
      </c>
      <c r="M34" s="80" t="n">
        <v>2000</v>
      </c>
      <c r="N34" s="80" t="n">
        <v>12000</v>
      </c>
      <c r="O34" s="80" t="n">
        <v>75000</v>
      </c>
      <c r="P34" s="80" t="n">
        <v>280000</v>
      </c>
      <c r="Q34" s="80" t="n">
        <v>700000</v>
      </c>
      <c r="R34" s="80" t="n">
        <v>1500000</v>
      </c>
      <c r="S34" s="80" t="n">
        <v>3000000</v>
      </c>
      <c r="T34" s="80" t="n">
        <v>4500000</v>
      </c>
      <c r="V34" s="80" t="n">
        <v>3000</v>
      </c>
      <c r="W34" s="80" t="n">
        <v>18000</v>
      </c>
      <c r="X34" s="80" t="n">
        <v>100000</v>
      </c>
      <c r="Y34" s="80" t="n">
        <v>400000</v>
      </c>
      <c r="Z34" s="80" t="n">
        <v>1000000</v>
      </c>
      <c r="AA34" s="80" t="n">
        <v>2200000</v>
      </c>
      <c r="AB34" s="80" t="n">
        <v>4500000</v>
      </c>
      <c r="AC34" s="80" t="n">
        <v>6500000</v>
      </c>
      <c r="AE34" s="81">
        <f>IF($C$3="Conservative",D34,IF($C$3="Moderate",M34,V34))</f>
        <v/>
      </c>
      <c r="AF34" s="81">
        <f>IF($C$3="Conservative",E34,IF($C$3="Moderate",N34,W34))</f>
        <v/>
      </c>
      <c r="AG34" s="81">
        <f>IF($C$3="Conservative",F34,IF($C$3="Moderate",O34,X34))</f>
        <v/>
      </c>
      <c r="AH34" s="81">
        <f>IF($C$3="Conservative",G34,IF($C$3="Moderate",P34,Y34))</f>
        <v/>
      </c>
      <c r="AI34" s="81">
        <f>IF($C$3="Conservative",H34,IF($C$3="Moderate",Q34,Z34))</f>
        <v/>
      </c>
      <c r="AJ34" s="81">
        <f>IF($C$3="Conservative",I34,IF($C$3="Moderate",R34,AA34))</f>
        <v/>
      </c>
      <c r="AK34" s="81">
        <f>IF($C$3="Conservative",J34,IF($C$3="Moderate",S34,AB34))</f>
        <v/>
      </c>
      <c r="AL34" s="81">
        <f>IF($C$3="Conservative",K34,IF($C$3="Moderate",T34,AC34))</f>
        <v/>
      </c>
    </row>
    <row r="35">
      <c r="B35" s="79" t="inlineStr">
        <is>
          <t>Premium Subs ($9.99/mo)</t>
        </is>
      </c>
      <c r="D35" s="80" t="n">
        <v>300</v>
      </c>
      <c r="E35" s="80" t="n">
        <v>2000</v>
      </c>
      <c r="F35" s="80" t="n">
        <v>14000</v>
      </c>
      <c r="G35" s="80" t="n">
        <v>55000</v>
      </c>
      <c r="H35" s="80" t="n">
        <v>150000</v>
      </c>
      <c r="I35" s="80" t="n">
        <v>350000</v>
      </c>
      <c r="J35" s="80" t="n">
        <v>700000</v>
      </c>
      <c r="K35" s="80" t="n">
        <v>1000000</v>
      </c>
      <c r="M35" s="80" t="n">
        <v>400</v>
      </c>
      <c r="N35" s="80" t="n">
        <v>3000</v>
      </c>
      <c r="O35" s="80" t="n">
        <v>22000</v>
      </c>
      <c r="P35" s="80" t="n">
        <v>95000</v>
      </c>
      <c r="Q35" s="80" t="n">
        <v>280000</v>
      </c>
      <c r="R35" s="80" t="n">
        <v>680000</v>
      </c>
      <c r="S35" s="80" t="n">
        <v>1400000</v>
      </c>
      <c r="T35" s="80" t="n">
        <v>2000000</v>
      </c>
      <c r="V35" s="80" t="n">
        <v>600</v>
      </c>
      <c r="W35" s="80" t="n">
        <v>5000</v>
      </c>
      <c r="X35" s="80" t="n">
        <v>35000</v>
      </c>
      <c r="Y35" s="80" t="n">
        <v>150000</v>
      </c>
      <c r="Z35" s="80" t="n">
        <v>450000</v>
      </c>
      <c r="AA35" s="80" t="n">
        <v>1100000</v>
      </c>
      <c r="AB35" s="80" t="n">
        <v>2200000</v>
      </c>
      <c r="AC35" s="80" t="n">
        <v>3200000</v>
      </c>
      <c r="AE35" s="81">
        <f>IF($C$3="Conservative",D35,IF($C$3="Moderate",M35,V35))</f>
        <v/>
      </c>
      <c r="AF35" s="81">
        <f>IF($C$3="Conservative",E35,IF($C$3="Moderate",N35,W35))</f>
        <v/>
      </c>
      <c r="AG35" s="81">
        <f>IF($C$3="Conservative",F35,IF($C$3="Moderate",O35,X35))</f>
        <v/>
      </c>
      <c r="AH35" s="81">
        <f>IF($C$3="Conservative",G35,IF($C$3="Moderate",P35,Y35))</f>
        <v/>
      </c>
      <c r="AI35" s="81">
        <f>IF($C$3="Conservative",H35,IF($C$3="Moderate",Q35,Z35))</f>
        <v/>
      </c>
      <c r="AJ35" s="81">
        <f>IF($C$3="Conservative",I35,IF($C$3="Moderate",R35,AA35))</f>
        <v/>
      </c>
      <c r="AK35" s="81">
        <f>IF($C$3="Conservative",J35,IF($C$3="Moderate",S35,AB35))</f>
        <v/>
      </c>
      <c r="AL35" s="81">
        <f>IF($C$3="Conservative",K35,IF($C$3="Moderate",T35,AC35))</f>
        <v/>
      </c>
    </row>
    <row r="36">
      <c r="B36" s="79" t="inlineStr">
        <is>
          <t>Family Subs ($19.99/mo)</t>
        </is>
      </c>
      <c r="D36" s="82" t="n">
        <v>40</v>
      </c>
      <c r="E36" s="80" t="n">
        <v>500</v>
      </c>
      <c r="F36" s="80" t="n">
        <v>3500</v>
      </c>
      <c r="G36" s="80" t="n">
        <v>15000</v>
      </c>
      <c r="H36" s="80" t="n">
        <v>45000</v>
      </c>
      <c r="I36" s="80" t="n">
        <v>110000</v>
      </c>
      <c r="J36" s="80" t="n">
        <v>240000</v>
      </c>
      <c r="K36" s="80" t="n">
        <v>350000</v>
      </c>
      <c r="M36" s="82" t="n">
        <v>60</v>
      </c>
      <c r="N36" s="80" t="n">
        <v>800</v>
      </c>
      <c r="O36" s="80" t="n">
        <v>6000</v>
      </c>
      <c r="P36" s="80" t="n">
        <v>28000</v>
      </c>
      <c r="Q36" s="80" t="n">
        <v>85000</v>
      </c>
      <c r="R36" s="80" t="n">
        <v>220000</v>
      </c>
      <c r="S36" s="80" t="n">
        <v>480000</v>
      </c>
      <c r="T36" s="80" t="n">
        <v>700000</v>
      </c>
      <c r="V36" s="82" t="n">
        <v>100</v>
      </c>
      <c r="W36" s="80" t="n">
        <v>1200</v>
      </c>
      <c r="X36" s="80" t="n">
        <v>9000</v>
      </c>
      <c r="Y36" s="80" t="n">
        <v>42000</v>
      </c>
      <c r="Z36" s="80" t="n">
        <v>130000</v>
      </c>
      <c r="AA36" s="80" t="n">
        <v>340000</v>
      </c>
      <c r="AB36" s="80" t="n">
        <v>720000</v>
      </c>
      <c r="AC36" s="80" t="n">
        <v>1050000</v>
      </c>
      <c r="AE36" s="83">
        <f>IF($C$3="Conservative",D36,IF($C$3="Moderate",M36,V36))</f>
        <v/>
      </c>
      <c r="AF36" s="81">
        <f>IF($C$3="Conservative",E36,IF($C$3="Moderate",N36,W36))</f>
        <v/>
      </c>
      <c r="AG36" s="81">
        <f>IF($C$3="Conservative",F36,IF($C$3="Moderate",O36,X36))</f>
        <v/>
      </c>
      <c r="AH36" s="81">
        <f>IF($C$3="Conservative",G36,IF($C$3="Moderate",P36,Y36))</f>
        <v/>
      </c>
      <c r="AI36" s="81">
        <f>IF($C$3="Conservative",H36,IF($C$3="Moderate",Q36,Z36))</f>
        <v/>
      </c>
      <c r="AJ36" s="81">
        <f>IF($C$3="Conservative",I36,IF($C$3="Moderate",R36,AA36))</f>
        <v/>
      </c>
      <c r="AK36" s="81">
        <f>IF($C$3="Conservative",J36,IF($C$3="Moderate",S36,AB36))</f>
        <v/>
      </c>
      <c r="AL36" s="81">
        <f>IF($C$3="Conservative",K36,IF($C$3="Moderate",T36,AC36))</f>
        <v/>
      </c>
    </row>
    <row r="37">
      <c r="B37" s="79" t="inlineStr">
        <is>
          <t>Sub Active Months %</t>
        </is>
      </c>
      <c r="D37" s="84" t="n">
        <v>0.65</v>
      </c>
      <c r="E37" s="84" t="n">
        <v>0.68</v>
      </c>
      <c r="F37" s="84" t="n">
        <v>0.7</v>
      </c>
      <c r="G37" s="84" t="n">
        <v>0.72</v>
      </c>
      <c r="H37" s="84" t="n">
        <v>0.72</v>
      </c>
      <c r="I37" s="84" t="n">
        <v>0.73</v>
      </c>
      <c r="J37" s="84" t="n">
        <v>0.73</v>
      </c>
      <c r="K37" s="84" t="n">
        <v>0.74</v>
      </c>
      <c r="M37" s="84" t="n">
        <v>0.7</v>
      </c>
      <c r="N37" s="84" t="n">
        <v>0.72</v>
      </c>
      <c r="O37" s="84" t="n">
        <v>0.74</v>
      </c>
      <c r="P37" s="84" t="n">
        <v>0.75</v>
      </c>
      <c r="Q37" s="84" t="n">
        <v>0.76</v>
      </c>
      <c r="R37" s="84" t="n">
        <v>0.77</v>
      </c>
      <c r="S37" s="84" t="n">
        <v>0.78</v>
      </c>
      <c r="T37" s="84" t="n">
        <v>0.78</v>
      </c>
      <c r="V37" s="84" t="n">
        <v>0.75</v>
      </c>
      <c r="W37" s="84" t="n">
        <v>0.78</v>
      </c>
      <c r="X37" s="84" t="n">
        <v>0.8</v>
      </c>
      <c r="Y37" s="84" t="n">
        <v>0.82</v>
      </c>
      <c r="Z37" s="84" t="n">
        <v>0.83</v>
      </c>
      <c r="AA37" s="84" t="n">
        <v>0.84</v>
      </c>
      <c r="AB37" s="84" t="n">
        <v>0.85</v>
      </c>
      <c r="AC37" s="84" t="n">
        <v>0.85</v>
      </c>
      <c r="AE37" s="85">
        <f>IF($C$3="Conservative",D37,IF($C$3="Moderate",M37,V37))</f>
        <v/>
      </c>
      <c r="AF37" s="85">
        <f>IF($C$3="Conservative",E37,IF($C$3="Moderate",N37,W37))</f>
        <v/>
      </c>
      <c r="AG37" s="85">
        <f>IF($C$3="Conservative",F37,IF($C$3="Moderate",O37,X37))</f>
        <v/>
      </c>
      <c r="AH37" s="85">
        <f>IF($C$3="Conservative",G37,IF($C$3="Moderate",P37,Y37))</f>
        <v/>
      </c>
      <c r="AI37" s="85">
        <f>IF($C$3="Conservative",H37,IF($C$3="Moderate",Q37,Z37))</f>
        <v/>
      </c>
      <c r="AJ37" s="85">
        <f>IF($C$3="Conservative",I37,IF($C$3="Moderate",R37,AA37))</f>
        <v/>
      </c>
      <c r="AK37" s="85">
        <f>IF($C$3="Conservative",J37,IF($C$3="Moderate",S37,AB37))</f>
        <v/>
      </c>
      <c r="AL37" s="85">
        <f>IF($C$3="Conservative",K37,IF($C$3="Moderate",T37,AC37))</f>
        <v/>
      </c>
    </row>
    <row r="39">
      <c r="B39" s="77" t="inlineStr">
        <is>
          <t>DIGITAL REVENUE ($K)</t>
        </is>
      </c>
      <c r="C39" s="78" t="n"/>
      <c r="D39" s="78" t="n"/>
      <c r="E39" s="78" t="n"/>
      <c r="F39" s="78" t="n"/>
      <c r="G39" s="78" t="n"/>
      <c r="H39" s="78" t="n"/>
      <c r="I39" s="78" t="n"/>
      <c r="J39" s="78" t="n"/>
      <c r="K39" s="78" t="n"/>
      <c r="M39" s="78" t="n"/>
      <c r="N39" s="78" t="n"/>
      <c r="O39" s="78" t="n"/>
      <c r="P39" s="78" t="n"/>
      <c r="Q39" s="78" t="n"/>
      <c r="R39" s="78" t="n"/>
      <c r="S39" s="78" t="n"/>
      <c r="T39" s="78" t="n"/>
      <c r="V39" s="78" t="n"/>
      <c r="W39" s="78" t="n"/>
      <c r="X39" s="78" t="n"/>
      <c r="Y39" s="78" t="n"/>
      <c r="Z39" s="78" t="n"/>
      <c r="AA39" s="78" t="n"/>
      <c r="AB39" s="78" t="n"/>
      <c r="AC39" s="78" t="n"/>
      <c r="AE39" s="78" t="n"/>
      <c r="AF39" s="78" t="n"/>
      <c r="AG39" s="78" t="n"/>
      <c r="AH39" s="78" t="n"/>
      <c r="AI39" s="78" t="n"/>
      <c r="AJ39" s="78" t="n"/>
      <c r="AK39" s="78" t="n"/>
      <c r="AL39" s="78" t="n"/>
    </row>
    <row r="40">
      <c r="B40" s="79" t="inlineStr">
        <is>
          <t>PayPacks + Credits</t>
        </is>
      </c>
      <c r="D40" s="82" t="n">
        <v>8</v>
      </c>
      <c r="E40" s="82" t="n">
        <v>60</v>
      </c>
      <c r="F40" s="80" t="n">
        <v>400</v>
      </c>
      <c r="G40" s="80" t="n">
        <v>1500</v>
      </c>
      <c r="H40" s="80" t="n">
        <v>4500</v>
      </c>
      <c r="I40" s="80" t="n">
        <v>10000</v>
      </c>
      <c r="J40" s="80" t="n">
        <v>22000</v>
      </c>
      <c r="K40" s="80" t="n">
        <v>32000</v>
      </c>
      <c r="M40" s="82" t="n">
        <v>11</v>
      </c>
      <c r="N40" s="82" t="n">
        <v>90</v>
      </c>
      <c r="O40" s="80" t="n">
        <v>630</v>
      </c>
      <c r="P40" s="80" t="n">
        <v>2350</v>
      </c>
      <c r="Q40" s="80" t="n">
        <v>7200</v>
      </c>
      <c r="R40" s="80" t="n">
        <v>17000</v>
      </c>
      <c r="S40" s="80" t="n">
        <v>35000</v>
      </c>
      <c r="T40" s="80" t="n">
        <v>51000</v>
      </c>
      <c r="V40" s="82" t="n">
        <v>15</v>
      </c>
      <c r="W40" s="80" t="n">
        <v>130</v>
      </c>
      <c r="X40" s="80" t="n">
        <v>900</v>
      </c>
      <c r="Y40" s="80" t="n">
        <v>3500</v>
      </c>
      <c r="Z40" s="80" t="n">
        <v>11000</v>
      </c>
      <c r="AA40" s="80" t="n">
        <v>26000</v>
      </c>
      <c r="AB40" s="80" t="n">
        <v>52000</v>
      </c>
      <c r="AC40" s="80" t="n">
        <v>76000</v>
      </c>
      <c r="AE40" s="83">
        <f>IF($C$3="Conservative",D40,IF($C$3="Moderate",M40,V40))</f>
        <v/>
      </c>
      <c r="AF40" s="83">
        <f>IF($C$3="Conservative",E40,IF($C$3="Moderate",N40,W40))</f>
        <v/>
      </c>
      <c r="AG40" s="81">
        <f>IF($C$3="Conservative",F40,IF($C$3="Moderate",O40,X40))</f>
        <v/>
      </c>
      <c r="AH40" s="81">
        <f>IF($C$3="Conservative",G40,IF($C$3="Moderate",P40,Y40))</f>
        <v/>
      </c>
      <c r="AI40" s="81">
        <f>IF($C$3="Conservative",H40,IF($C$3="Moderate",Q40,Z40))</f>
        <v/>
      </c>
      <c r="AJ40" s="81">
        <f>IF($C$3="Conservative",I40,IF($C$3="Moderate",R40,AA40))</f>
        <v/>
      </c>
      <c r="AK40" s="81">
        <f>IF($C$3="Conservative",J40,IF($C$3="Moderate",S40,AB40))</f>
        <v/>
      </c>
      <c r="AL40" s="81">
        <f>IF($C$3="Conservative",K40,IF($C$3="Moderate",T40,AC40))</f>
        <v/>
      </c>
    </row>
    <row r="41">
      <c r="B41" s="79" t="inlineStr">
        <is>
          <t>Licensed Content</t>
        </is>
      </c>
      <c r="D41" s="82" t="n">
        <v>15</v>
      </c>
      <c r="E41" s="80" t="n">
        <v>200</v>
      </c>
      <c r="F41" s="80" t="n">
        <v>600</v>
      </c>
      <c r="G41" s="80" t="n">
        <v>1800</v>
      </c>
      <c r="H41" s="80" t="n">
        <v>4000</v>
      </c>
      <c r="I41" s="80" t="n">
        <v>8000</v>
      </c>
      <c r="J41" s="80" t="n">
        <v>15000</v>
      </c>
      <c r="K41" s="80" t="n">
        <v>22000</v>
      </c>
      <c r="M41" s="82" t="n">
        <v>20</v>
      </c>
      <c r="N41" s="80" t="n">
        <v>300</v>
      </c>
      <c r="O41" s="80" t="n">
        <v>900</v>
      </c>
      <c r="P41" s="80" t="n">
        <v>2500</v>
      </c>
      <c r="Q41" s="80" t="n">
        <v>6000</v>
      </c>
      <c r="R41" s="80" t="n">
        <v>12000</v>
      </c>
      <c r="S41" s="80" t="n">
        <v>22000</v>
      </c>
      <c r="T41" s="80" t="n">
        <v>32000</v>
      </c>
      <c r="V41" s="82" t="n">
        <v>30</v>
      </c>
      <c r="W41" s="80" t="n">
        <v>450</v>
      </c>
      <c r="X41" s="80" t="n">
        <v>1400</v>
      </c>
      <c r="Y41" s="80" t="n">
        <v>3800</v>
      </c>
      <c r="Z41" s="80" t="n">
        <v>9000</v>
      </c>
      <c r="AA41" s="80" t="n">
        <v>18000</v>
      </c>
      <c r="AB41" s="80" t="n">
        <v>32000</v>
      </c>
      <c r="AC41" s="80" t="n">
        <v>46000</v>
      </c>
      <c r="AE41" s="83">
        <f>IF($C$3="Conservative",D41,IF($C$3="Moderate",M41,V41))</f>
        <v/>
      </c>
      <c r="AF41" s="81">
        <f>IF($C$3="Conservative",E41,IF($C$3="Moderate",N41,W41))</f>
        <v/>
      </c>
      <c r="AG41" s="81">
        <f>IF($C$3="Conservative",F41,IF($C$3="Moderate",O41,X41))</f>
        <v/>
      </c>
      <c r="AH41" s="81">
        <f>IF($C$3="Conservative",G41,IF($C$3="Moderate",P41,Y41))</f>
        <v/>
      </c>
      <c r="AI41" s="81">
        <f>IF($C$3="Conservative",H41,IF($C$3="Moderate",Q41,Z41))</f>
        <v/>
      </c>
      <c r="AJ41" s="81">
        <f>IF($C$3="Conservative",I41,IF($C$3="Moderate",R41,AA41))</f>
        <v/>
      </c>
      <c r="AK41" s="81">
        <f>IF($C$3="Conservative",J41,IF($C$3="Moderate",S41,AB41))</f>
        <v/>
      </c>
      <c r="AL41" s="81">
        <f>IF($C$3="Conservative",K41,IF($C$3="Moderate",T41,AC41))</f>
        <v/>
      </c>
    </row>
    <row r="42">
      <c r="B42" s="79" t="inlineStr">
        <is>
          <t>Brand Activations</t>
        </is>
      </c>
      <c r="D42" s="82" t="n">
        <v>10</v>
      </c>
      <c r="E42" s="80" t="n">
        <v>130</v>
      </c>
      <c r="F42" s="80" t="n">
        <v>400</v>
      </c>
      <c r="G42" s="80" t="n">
        <v>1200</v>
      </c>
      <c r="H42" s="80" t="n">
        <v>3200</v>
      </c>
      <c r="I42" s="80" t="n">
        <v>6500</v>
      </c>
      <c r="J42" s="80" t="n">
        <v>12000</v>
      </c>
      <c r="K42" s="80" t="n">
        <v>18000</v>
      </c>
      <c r="M42" s="82" t="n">
        <v>15</v>
      </c>
      <c r="N42" s="80" t="n">
        <v>200</v>
      </c>
      <c r="O42" s="80" t="n">
        <v>600</v>
      </c>
      <c r="P42" s="80" t="n">
        <v>1800</v>
      </c>
      <c r="Q42" s="80" t="n">
        <v>5000</v>
      </c>
      <c r="R42" s="80" t="n">
        <v>10000</v>
      </c>
      <c r="S42" s="80" t="n">
        <v>18000</v>
      </c>
      <c r="T42" s="80" t="n">
        <v>26000</v>
      </c>
      <c r="V42" s="82" t="n">
        <v>20</v>
      </c>
      <c r="W42" s="80" t="n">
        <v>300</v>
      </c>
      <c r="X42" s="80" t="n">
        <v>900</v>
      </c>
      <c r="Y42" s="80" t="n">
        <v>2800</v>
      </c>
      <c r="Z42" s="80" t="n">
        <v>7500</v>
      </c>
      <c r="AA42" s="80" t="n">
        <v>15000</v>
      </c>
      <c r="AB42" s="80" t="n">
        <v>26000</v>
      </c>
      <c r="AC42" s="80" t="n">
        <v>38000</v>
      </c>
      <c r="AE42" s="83">
        <f>IF($C$3="Conservative",D42,IF($C$3="Moderate",M42,V42))</f>
        <v/>
      </c>
      <c r="AF42" s="81">
        <f>IF($C$3="Conservative",E42,IF($C$3="Moderate",N42,W42))</f>
        <v/>
      </c>
      <c r="AG42" s="81">
        <f>IF($C$3="Conservative",F42,IF($C$3="Moderate",O42,X42))</f>
        <v/>
      </c>
      <c r="AH42" s="81">
        <f>IF($C$3="Conservative",G42,IF($C$3="Moderate",P42,Y42))</f>
        <v/>
      </c>
      <c r="AI42" s="81">
        <f>IF($C$3="Conservative",H42,IF($C$3="Moderate",Q42,Z42))</f>
        <v/>
      </c>
      <c r="AJ42" s="81">
        <f>IF($C$3="Conservative",I42,IF($C$3="Moderate",R42,AA42))</f>
        <v/>
      </c>
      <c r="AK42" s="81">
        <f>IF($C$3="Conservative",J42,IF($C$3="Moderate",S42,AB42))</f>
        <v/>
      </c>
      <c r="AL42" s="81">
        <f>IF($C$3="Conservative",K42,IF($C$3="Moderate",T42,AC42))</f>
        <v/>
      </c>
    </row>
    <row r="43">
      <c r="B43" s="79" t="inlineStr">
        <is>
          <t>Patent Licensing (upside optionality)</t>
        </is>
      </c>
      <c r="D43" s="82" t="n">
        <v>0</v>
      </c>
      <c r="E43" s="82" t="n">
        <v>0</v>
      </c>
      <c r="F43" s="82" t="n">
        <v>0</v>
      </c>
      <c r="G43" s="82" t="n">
        <v>100</v>
      </c>
      <c r="H43" s="80" t="n">
        <v>800</v>
      </c>
      <c r="I43" s="80" t="n">
        <v>2500</v>
      </c>
      <c r="J43" s="80" t="n">
        <v>6000</v>
      </c>
      <c r="K43" s="80" t="n">
        <v>12000</v>
      </c>
      <c r="M43" s="82" t="n">
        <v>0</v>
      </c>
      <c r="N43" s="82" t="n">
        <v>0</v>
      </c>
      <c r="O43" s="82" t="n">
        <v>0</v>
      </c>
      <c r="P43" s="80" t="n">
        <v>200</v>
      </c>
      <c r="Q43" s="80" t="n">
        <v>1500</v>
      </c>
      <c r="R43" s="80" t="n">
        <v>5000</v>
      </c>
      <c r="S43" s="80" t="n">
        <v>12000</v>
      </c>
      <c r="T43" s="80" t="n">
        <v>25000</v>
      </c>
      <c r="V43" s="82" t="n">
        <v>0</v>
      </c>
      <c r="W43" s="82" t="n">
        <v>0</v>
      </c>
      <c r="X43" s="82" t="n">
        <v>0</v>
      </c>
      <c r="Y43" s="80" t="n">
        <v>400</v>
      </c>
      <c r="Z43" s="80" t="n">
        <v>2500</v>
      </c>
      <c r="AA43" s="80" t="n">
        <v>8000</v>
      </c>
      <c r="AB43" s="80" t="n">
        <v>20000</v>
      </c>
      <c r="AC43" s="80" t="n">
        <v>40000</v>
      </c>
      <c r="AE43" s="83">
        <f>IF($C$3="Conservative",D43,IF($C$3="Moderate",M43,V43))</f>
        <v/>
      </c>
      <c r="AF43" s="83">
        <f>IF($C$3="Conservative",E43,IF($C$3="Moderate",N43,W43))</f>
        <v/>
      </c>
      <c r="AG43" s="83">
        <f>IF($C$3="Conservative",F43,IF($C$3="Moderate",O43,X43))</f>
        <v/>
      </c>
      <c r="AH43" s="81">
        <f>IF($C$3="Conservative",G43,IF($C$3="Moderate",P43,Y43))</f>
        <v/>
      </c>
      <c r="AI43" s="81">
        <f>IF($C$3="Conservative",H43,IF($C$3="Moderate",Q43,Z43))</f>
        <v/>
      </c>
      <c r="AJ43" s="81">
        <f>IF($C$3="Conservative",I43,IF($C$3="Moderate",R43,AA43))</f>
        <v/>
      </c>
      <c r="AK43" s="81">
        <f>IF($C$3="Conservative",J43,IF($C$3="Moderate",S43,AB43))</f>
        <v/>
      </c>
      <c r="AL43" s="81">
        <f>IF($C$3="Conservative",K43,IF($C$3="Moderate",T43,AC43))</f>
        <v/>
      </c>
    </row>
    <row r="45">
      <c r="B45" s="77" t="inlineStr">
        <is>
          <t>OPEX ($K)</t>
        </is>
      </c>
      <c r="C45" s="78" t="n"/>
      <c r="D45" s="78" t="n"/>
      <c r="E45" s="78" t="n"/>
      <c r="F45" s="78" t="n"/>
      <c r="G45" s="78" t="n"/>
      <c r="H45" s="78" t="n"/>
      <c r="I45" s="78" t="n"/>
      <c r="J45" s="78" t="n"/>
      <c r="K45" s="78" t="n"/>
      <c r="M45" s="78" t="n"/>
      <c r="N45" s="78" t="n"/>
      <c r="O45" s="78" t="n"/>
      <c r="P45" s="78" t="n"/>
      <c r="Q45" s="78" t="n"/>
      <c r="R45" s="78" t="n"/>
      <c r="S45" s="78" t="n"/>
      <c r="T45" s="78" t="n"/>
      <c r="V45" s="78" t="n"/>
      <c r="W45" s="78" t="n"/>
      <c r="X45" s="78" t="n"/>
      <c r="Y45" s="78" t="n"/>
      <c r="Z45" s="78" t="n"/>
      <c r="AA45" s="78" t="n"/>
      <c r="AB45" s="78" t="n"/>
      <c r="AC45" s="78" t="n"/>
      <c r="AE45" s="78" t="n"/>
      <c r="AF45" s="78" t="n"/>
      <c r="AG45" s="78" t="n"/>
      <c r="AH45" s="78" t="n"/>
      <c r="AI45" s="78" t="n"/>
      <c r="AJ45" s="78" t="n"/>
      <c r="AK45" s="78" t="n"/>
      <c r="AL45" s="78" t="n"/>
    </row>
    <row r="46">
      <c r="B46" s="79" t="inlineStr">
        <is>
          <t>Sales &amp; Marketing</t>
        </is>
      </c>
      <c r="D46" s="80" t="n">
        <v>-500</v>
      </c>
      <c r="E46" s="80" t="n">
        <v>-2000</v>
      </c>
      <c r="F46" s="80" t="n">
        <v>-6500</v>
      </c>
      <c r="G46" s="80" t="n">
        <v>-15000</v>
      </c>
      <c r="H46" s="80" t="n">
        <v>-32000</v>
      </c>
      <c r="I46" s="80" t="n">
        <v>-58000</v>
      </c>
      <c r="J46" s="80" t="n">
        <v>-88000</v>
      </c>
      <c r="K46" s="80" t="n">
        <v>-115000</v>
      </c>
      <c r="M46" s="80" t="n">
        <v>-600</v>
      </c>
      <c r="N46" s="80" t="n">
        <v>-2500</v>
      </c>
      <c r="O46" s="80" t="n">
        <v>-8000</v>
      </c>
      <c r="P46" s="80" t="n">
        <v>-18000</v>
      </c>
      <c r="Q46" s="80" t="n">
        <v>-38000</v>
      </c>
      <c r="R46" s="80" t="n">
        <v>-68000</v>
      </c>
      <c r="S46" s="80" t="n">
        <v>-117000</v>
      </c>
      <c r="T46" s="80" t="n">
        <v>-168000</v>
      </c>
      <c r="V46" s="80" t="n">
        <v>-700</v>
      </c>
      <c r="W46" s="80" t="n">
        <v>-3200</v>
      </c>
      <c r="X46" s="80" t="n">
        <v>-10000</v>
      </c>
      <c r="Y46" s="80" t="n">
        <v>-22000</v>
      </c>
      <c r="Z46" s="80" t="n">
        <v>-46000</v>
      </c>
      <c r="AA46" s="80" t="n">
        <v>-82000</v>
      </c>
      <c r="AB46" s="80" t="n">
        <v>-125000</v>
      </c>
      <c r="AC46" s="80" t="n">
        <v>-170000</v>
      </c>
      <c r="AE46" s="81">
        <f>IF($C$3="Conservative",D46,IF($C$3="Moderate",M46,V46))</f>
        <v/>
      </c>
      <c r="AF46" s="81">
        <f>IF($C$3="Conservative",E46,IF($C$3="Moderate",N46,W46))</f>
        <v/>
      </c>
      <c r="AG46" s="81">
        <f>IF($C$3="Conservative",F46,IF($C$3="Moderate",O46,X46))</f>
        <v/>
      </c>
      <c r="AH46" s="81">
        <f>IF($C$3="Conservative",G46,IF($C$3="Moderate",P46,Y46))</f>
        <v/>
      </c>
      <c r="AI46" s="81">
        <f>IF($C$3="Conservative",H46,IF($C$3="Moderate",Q46,Z46))</f>
        <v/>
      </c>
      <c r="AJ46" s="81">
        <f>IF($C$3="Conservative",I46,IF($C$3="Moderate",R46,AA46))</f>
        <v/>
      </c>
      <c r="AK46" s="81">
        <f>IF($C$3="Conservative",J46,IF($C$3="Moderate",S46,AB46))</f>
        <v/>
      </c>
      <c r="AL46" s="81">
        <f>IF($C$3="Conservative",K46,IF($C$3="Moderate",T46,AC46))</f>
        <v/>
      </c>
    </row>
    <row r="47">
      <c r="B47" s="79" t="inlineStr">
        <is>
          <t>R&amp;D</t>
        </is>
      </c>
      <c r="D47" s="80" t="n">
        <v>-350</v>
      </c>
      <c r="E47" s="80" t="n">
        <v>-1200</v>
      </c>
      <c r="F47" s="80" t="n">
        <v>-3500</v>
      </c>
      <c r="G47" s="80" t="n">
        <v>-7000</v>
      </c>
      <c r="H47" s="80" t="n">
        <v>-13000</v>
      </c>
      <c r="I47" s="80" t="n">
        <v>-24000</v>
      </c>
      <c r="J47" s="80" t="n">
        <v>-42000</v>
      </c>
      <c r="K47" s="80" t="n">
        <v>-60000</v>
      </c>
      <c r="M47" s="80" t="n">
        <v>-400</v>
      </c>
      <c r="N47" s="80" t="n">
        <v>-1400</v>
      </c>
      <c r="O47" s="80" t="n">
        <v>-4000</v>
      </c>
      <c r="P47" s="80" t="n">
        <v>-8000</v>
      </c>
      <c r="Q47" s="80" t="n">
        <v>-15000</v>
      </c>
      <c r="R47" s="80" t="n">
        <v>-28000</v>
      </c>
      <c r="S47" s="80" t="n">
        <v>-48000</v>
      </c>
      <c r="T47" s="80" t="n">
        <v>-68000</v>
      </c>
      <c r="V47" s="80" t="n">
        <v>-500</v>
      </c>
      <c r="W47" s="80" t="n">
        <v>-1800</v>
      </c>
      <c r="X47" s="80" t="n">
        <v>-5000</v>
      </c>
      <c r="Y47" s="80" t="n">
        <v>-10000</v>
      </c>
      <c r="Z47" s="80" t="n">
        <v>-18000</v>
      </c>
      <c r="AA47" s="80" t="n">
        <v>-34000</v>
      </c>
      <c r="AB47" s="80" t="n">
        <v>-58000</v>
      </c>
      <c r="AC47" s="80" t="n">
        <v>-80000</v>
      </c>
      <c r="AE47" s="81">
        <f>IF($C$3="Conservative",D47,IF($C$3="Moderate",M47,V47))</f>
        <v/>
      </c>
      <c r="AF47" s="81">
        <f>IF($C$3="Conservative",E47,IF($C$3="Moderate",N47,W47))</f>
        <v/>
      </c>
      <c r="AG47" s="81">
        <f>IF($C$3="Conservative",F47,IF($C$3="Moderate",O47,X47))</f>
        <v/>
      </c>
      <c r="AH47" s="81">
        <f>IF($C$3="Conservative",G47,IF($C$3="Moderate",P47,Y47))</f>
        <v/>
      </c>
      <c r="AI47" s="81">
        <f>IF($C$3="Conservative",H47,IF($C$3="Moderate",Q47,Z47))</f>
        <v/>
      </c>
      <c r="AJ47" s="81">
        <f>IF($C$3="Conservative",I47,IF($C$3="Moderate",R47,AA47))</f>
        <v/>
      </c>
      <c r="AK47" s="81">
        <f>IF($C$3="Conservative",J47,IF($C$3="Moderate",S47,AB47))</f>
        <v/>
      </c>
      <c r="AL47" s="81">
        <f>IF($C$3="Conservative",K47,IF($C$3="Moderate",T47,AC47))</f>
        <v/>
      </c>
    </row>
    <row r="48">
      <c r="B48" s="79" t="inlineStr">
        <is>
          <t>G&amp;A</t>
        </is>
      </c>
      <c r="D48" s="80" t="n">
        <v>-350</v>
      </c>
      <c r="E48" s="80" t="n">
        <v>-900</v>
      </c>
      <c r="F48" s="80" t="n">
        <v>-1800</v>
      </c>
      <c r="G48" s="80" t="n">
        <v>-3200</v>
      </c>
      <c r="H48" s="80" t="n">
        <v>-5500</v>
      </c>
      <c r="I48" s="80" t="n">
        <v>-9000</v>
      </c>
      <c r="J48" s="80" t="n">
        <v>-14000</v>
      </c>
      <c r="K48" s="80" t="n">
        <v>-20000</v>
      </c>
      <c r="M48" s="80" t="n">
        <v>-400</v>
      </c>
      <c r="N48" s="80" t="n">
        <v>-1000</v>
      </c>
      <c r="O48" s="80" t="n">
        <v>-2000</v>
      </c>
      <c r="P48" s="80" t="n">
        <v>-3500</v>
      </c>
      <c r="Q48" s="80" t="n">
        <v>-6000</v>
      </c>
      <c r="R48" s="80" t="n">
        <v>-10000</v>
      </c>
      <c r="S48" s="80" t="n">
        <v>-16000</v>
      </c>
      <c r="T48" s="80" t="n">
        <v>-22000</v>
      </c>
      <c r="V48" s="80" t="n">
        <v>-450</v>
      </c>
      <c r="W48" s="80" t="n">
        <v>-1100</v>
      </c>
      <c r="X48" s="80" t="n">
        <v>-2400</v>
      </c>
      <c r="Y48" s="80" t="n">
        <v>-4000</v>
      </c>
      <c r="Z48" s="80" t="n">
        <v>-7000</v>
      </c>
      <c r="AA48" s="80" t="n">
        <v>-12000</v>
      </c>
      <c r="AB48" s="80" t="n">
        <v>-18000</v>
      </c>
      <c r="AC48" s="80" t="n">
        <v>-25000</v>
      </c>
      <c r="AE48" s="81">
        <f>IF($C$3="Conservative",D48,IF($C$3="Moderate",M48,V48))</f>
        <v/>
      </c>
      <c r="AF48" s="81">
        <f>IF($C$3="Conservative",E48,IF($C$3="Moderate",N48,W48))</f>
        <v/>
      </c>
      <c r="AG48" s="81">
        <f>IF($C$3="Conservative",F48,IF($C$3="Moderate",O48,X48))</f>
        <v/>
      </c>
      <c r="AH48" s="81">
        <f>IF($C$3="Conservative",G48,IF($C$3="Moderate",P48,Y48))</f>
        <v/>
      </c>
      <c r="AI48" s="81">
        <f>IF($C$3="Conservative",H48,IF($C$3="Moderate",Q48,Z48))</f>
        <v/>
      </c>
      <c r="AJ48" s="81">
        <f>IF($C$3="Conservative",I48,IF($C$3="Moderate",R48,AA48))</f>
        <v/>
      </c>
      <c r="AK48" s="81">
        <f>IF($C$3="Conservative",J48,IF($C$3="Moderate",S48,AB48))</f>
        <v/>
      </c>
      <c r="AL48" s="81">
        <f>IF($C$3="Conservative",K48,IF($C$3="Moderate",T48,AC48))</f>
        <v/>
      </c>
    </row>
    <row r="49">
      <c r="B49" s="79" t="inlineStr">
        <is>
          <t>Customer Support</t>
        </is>
      </c>
      <c r="D49" s="80" t="n">
        <v>-60</v>
      </c>
      <c r="E49" s="80" t="n">
        <v>-320</v>
      </c>
      <c r="F49" s="80" t="n">
        <v>-1000</v>
      </c>
      <c r="G49" s="80" t="n">
        <v>-2400</v>
      </c>
      <c r="H49" s="80" t="n">
        <v>-5200</v>
      </c>
      <c r="I49" s="80" t="n">
        <v>-10000</v>
      </c>
      <c r="J49" s="80" t="n">
        <v>-17000</v>
      </c>
      <c r="K49" s="80" t="n">
        <v>-24000</v>
      </c>
      <c r="M49" s="80" t="n">
        <v>-80</v>
      </c>
      <c r="N49" s="80" t="n">
        <v>-400</v>
      </c>
      <c r="O49" s="80" t="n">
        <v>-1200</v>
      </c>
      <c r="P49" s="80" t="n">
        <v>-2800</v>
      </c>
      <c r="Q49" s="80" t="n">
        <v>-6000</v>
      </c>
      <c r="R49" s="80" t="n">
        <v>-12000</v>
      </c>
      <c r="S49" s="80" t="n">
        <v>-20000</v>
      </c>
      <c r="T49" s="80" t="n">
        <v>-28000</v>
      </c>
      <c r="V49" s="80" t="n">
        <v>-100</v>
      </c>
      <c r="W49" s="80" t="n">
        <v>-500</v>
      </c>
      <c r="X49" s="80" t="n">
        <v>-1500</v>
      </c>
      <c r="Y49" s="80" t="n">
        <v>-3500</v>
      </c>
      <c r="Z49" s="80" t="n">
        <v>-7500</v>
      </c>
      <c r="AA49" s="80" t="n">
        <v>-15000</v>
      </c>
      <c r="AB49" s="80" t="n">
        <v>-25000</v>
      </c>
      <c r="AC49" s="80" t="n">
        <v>-34000</v>
      </c>
      <c r="AE49" s="81">
        <f>IF($C$3="Conservative",D49,IF($C$3="Moderate",M49,V49))</f>
        <v/>
      </c>
      <c r="AF49" s="81">
        <f>IF($C$3="Conservative",E49,IF($C$3="Moderate",N49,W49))</f>
        <v/>
      </c>
      <c r="AG49" s="81">
        <f>IF($C$3="Conservative",F49,IF($C$3="Moderate",O49,X49))</f>
        <v/>
      </c>
      <c r="AH49" s="81">
        <f>IF($C$3="Conservative",G49,IF($C$3="Moderate",P49,Y49))</f>
        <v/>
      </c>
      <c r="AI49" s="81">
        <f>IF($C$3="Conservative",H49,IF($C$3="Moderate",Q49,Z49))</f>
        <v/>
      </c>
      <c r="AJ49" s="81">
        <f>IF($C$3="Conservative",I49,IF($C$3="Moderate",R49,AA49))</f>
        <v/>
      </c>
      <c r="AK49" s="81">
        <f>IF($C$3="Conservative",J49,IF($C$3="Moderate",S49,AB49))</f>
        <v/>
      </c>
      <c r="AL49" s="81">
        <f>IF($C$3="Conservative",K49,IF($C$3="Moderate",T49,AC49))</f>
        <v/>
      </c>
    </row>
  </sheetData>
  <mergeCells count="4">
    <mergeCell ref="V5:AC5"/>
    <mergeCell ref="D5:K5"/>
    <mergeCell ref="AE5:AL5"/>
    <mergeCell ref="M5:T5"/>
  </mergeCells>
  <dataValidations count="1">
    <dataValidation sqref="C3" showDropDown="0" showInputMessage="0" showErrorMessage="0" allowBlank="0" type="list">
      <formula1>"Conservative,Moderate,Aggressive"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B2:F38"/>
  <sheetViews>
    <sheetView showGridLines="0" zoomScaleNormal="100" workbookViewId="0">
      <selection activeCell="A1" sqref="A1"/>
    </sheetView>
  </sheetViews>
  <sheetFormatPr baseColWidth="8" defaultColWidth="9.109375" defaultRowHeight="15" customHeight="1"/>
  <cols>
    <col width="5" customWidth="1" style="103" min="1" max="1"/>
    <col width="12" customWidth="1" style="103" min="2" max="2"/>
    <col width="14" customWidth="1" style="103" min="3" max="5"/>
    <col width="50" customWidth="1" style="103" min="6" max="6"/>
  </cols>
  <sheetData>
    <row r="2" ht="17.25" customHeight="1" s="103">
      <c r="B2" s="1" t="inlineStr">
        <is>
          <t>DECK-READY CHART DATA</t>
        </is>
      </c>
    </row>
    <row r="3" ht="12.75" customHeight="1" s="103">
      <c r="B3" s="2" t="inlineStr">
        <is>
          <t>Copy these into slide charts. Also exported as .pptx with formatted charts.</t>
        </is>
      </c>
    </row>
    <row r="5" ht="14.25" customHeight="1" s="103">
      <c r="B5" s="3" t="inlineStr">
        <is>
          <t>CHART 1: Revenue Trajectory ($M)</t>
        </is>
      </c>
      <c r="C5" s="4" t="n"/>
      <c r="D5" s="4" t="n"/>
      <c r="E5" s="4" t="n"/>
    </row>
    <row r="6" ht="12.75" customHeight="1" s="103">
      <c r="B6" s="5" t="inlineStr">
        <is>
          <t>Year</t>
        </is>
      </c>
      <c r="C6" s="5" t="inlineStr">
        <is>
          <t>Revenue ($M)</t>
        </is>
      </c>
      <c r="D6" s="5" t="inlineStr">
        <is>
          <t>YoY Growth</t>
        </is>
      </c>
      <c r="E6" s="5" t="inlineStr">
        <is>
          <t>Key Driver</t>
        </is>
      </c>
    </row>
    <row r="7" ht="12.75" customHeight="1" s="103">
      <c r="B7" s="55" t="inlineStr">
        <is>
          <t>2026</t>
        </is>
      </c>
      <c r="C7" s="7">
        <f>'Full P&amp;L'!D14/1000</f>
        <v/>
      </c>
      <c r="D7" s="8">
        <f>"—"</f>
        <v/>
      </c>
      <c r="E7" s="9" t="inlineStr">
        <is>
          <t>125-unit Community Drop (5 NBCU + 20 co-brand + 100 community) + standalone CPG launch (Inklish, Pens, Press-Ons, Polish) + waitlist build</t>
        </is>
      </c>
    </row>
    <row r="8" ht="12.75" customHeight="1" s="103">
      <c r="B8" s="6">
        <f>B7+1</f>
        <v/>
      </c>
      <c r="C8" s="7">
        <f>'Full P&amp;L'!E14/1000</f>
        <v/>
      </c>
      <c r="D8" s="10">
        <f>'Full P&amp;L'!E16</f>
        <v/>
      </c>
      <c r="E8" s="9" t="inlineStr">
        <is>
          <t>Licensed partner ramps, consumables grow</t>
        </is>
      </c>
    </row>
    <row r="9" ht="12.75" customHeight="1" s="103">
      <c r="B9" s="6">
        <f>B8+1</f>
        <v/>
      </c>
      <c r="C9" s="7">
        <f>'Full P&amp;L'!F14/1000</f>
        <v/>
      </c>
      <c r="D9" s="10">
        <f>'Full P&amp;L'!F16</f>
        <v/>
      </c>
      <c r="E9" s="9" t="inlineStr">
        <is>
          <t>3.0 launches at $49.99, 73K units</t>
        </is>
      </c>
    </row>
    <row r="10" ht="12.75" customHeight="1" s="103">
      <c r="B10" s="6">
        <f>B9+1</f>
        <v/>
      </c>
      <c r="C10" s="7">
        <f>'Full P&amp;L'!G14/1000</f>
        <v/>
      </c>
      <c r="D10" s="10">
        <f>'Full P&amp;L'!G16</f>
        <v/>
      </c>
      <c r="E10" s="9" t="inlineStr">
        <is>
          <t>Inkbot launches, INTL partner live, 290K 3.0 units</t>
        </is>
      </c>
    </row>
    <row r="11" ht="12.75" customHeight="1" s="103">
      <c r="B11" s="6">
        <f>B10+1</f>
        <v/>
      </c>
      <c r="C11" s="7">
        <f>'Full P&amp;L'!H14/1000</f>
        <v/>
      </c>
      <c r="D11" s="10">
        <f>'Full P&amp;L'!H16</f>
        <v/>
      </c>
      <c r="E11" s="9" t="inlineStr">
        <is>
          <t>3.0 hits 780K, subs cross 365K paid</t>
        </is>
      </c>
    </row>
    <row r="12" ht="12.75" customHeight="1" s="103">
      <c r="B12" s="6">
        <f>B11+1</f>
        <v/>
      </c>
      <c r="C12" s="7">
        <f>'Full P&amp;L'!I14/1000</f>
        <v/>
      </c>
      <c r="D12" s="10">
        <f>'Full P&amp;L'!I16</f>
        <v/>
      </c>
      <c r="E12" s="9" t="inlineStr">
        <is>
          <t>INTL scales, digital hits 31% of revenue</t>
        </is>
      </c>
    </row>
    <row r="13" ht="12.75" customHeight="1" s="103">
      <c r="B13" s="6">
        <f>B12+1</f>
        <v/>
      </c>
      <c r="C13" s="7">
        <f>'Full P&amp;L'!J14/1000</f>
        <v/>
      </c>
      <c r="D13" s="10">
        <f>'Full P&amp;L'!J16</f>
        <v/>
      </c>
      <c r="E13" s="9" t="inlineStr">
        <is>
          <t>2.55M 3.0 units, 1.88M paid subs</t>
        </is>
      </c>
    </row>
    <row r="14" ht="12.75" customHeight="1" s="103">
      <c r="B14" s="6">
        <f>B13+1</f>
        <v/>
      </c>
      <c r="C14" s="7">
        <f>'Full P&amp;L'!K14/1000</f>
        <v/>
      </c>
      <c r="D14" s="10">
        <f>'Full P&amp;L'!K16</f>
        <v/>
      </c>
      <c r="E14" s="9" t="inlineStr">
        <is>
          <t>3.1M 3.0 units, 2.7M paid subs, $25M patent licensing</t>
        </is>
      </c>
    </row>
    <row r="17" ht="14.25" customHeight="1" s="103">
      <c r="B17" s="3" t="inlineStr">
        <is>
          <t>CHART 2: Revenue Mix (% of Total)</t>
        </is>
      </c>
      <c r="C17" s="4" t="n"/>
      <c r="D17" s="4" t="n"/>
      <c r="E17" s="4" t="n"/>
      <c r="F17" s="4" t="n"/>
    </row>
    <row r="18" ht="12.75" customHeight="1" s="103">
      <c r="B18" s="5" t="inlineStr">
        <is>
          <t>Year</t>
        </is>
      </c>
      <c r="C18" s="5" t="inlineStr">
        <is>
          <t>Hardware %</t>
        </is>
      </c>
      <c r="D18" s="5" t="inlineStr">
        <is>
          <t>Cons+CPG %</t>
        </is>
      </c>
      <c r="E18" s="5" t="inlineStr">
        <is>
          <t>Digital+IP %</t>
        </is>
      </c>
      <c r="F18" s="5" t="inlineStr">
        <is>
          <t>Recurring %</t>
        </is>
      </c>
    </row>
    <row r="19" ht="12.75" customHeight="1" s="103">
      <c r="B19" s="55" t="inlineStr">
        <is>
          <t>2026</t>
        </is>
      </c>
      <c r="C19" s="11">
        <f>'Full P&amp;L'!D48*100</f>
        <v/>
      </c>
      <c r="D19" s="11">
        <f>'Full P&amp;L'!D49*100</f>
        <v/>
      </c>
      <c r="E19" s="11">
        <f>'Full P&amp;L'!D50*100</f>
        <v/>
      </c>
      <c r="F19" s="12">
        <f>'Full P&amp;L'!D51*100</f>
        <v/>
      </c>
    </row>
    <row r="20" ht="12.75" customHeight="1" s="103">
      <c r="B20" s="6">
        <f>B19+1</f>
        <v/>
      </c>
      <c r="C20" s="11">
        <f>'Full P&amp;L'!E48*100</f>
        <v/>
      </c>
      <c r="D20" s="11">
        <f>'Full P&amp;L'!E49*100</f>
        <v/>
      </c>
      <c r="E20" s="11">
        <f>'Full P&amp;L'!E50*100</f>
        <v/>
      </c>
      <c r="F20" s="12">
        <f>'Full P&amp;L'!E51*100</f>
        <v/>
      </c>
    </row>
    <row r="21" ht="12.75" customHeight="1" s="103">
      <c r="B21" s="6">
        <f>B20+1</f>
        <v/>
      </c>
      <c r="C21" s="11">
        <f>'Full P&amp;L'!F48*100</f>
        <v/>
      </c>
      <c r="D21" s="11">
        <f>'Full P&amp;L'!F49*100</f>
        <v/>
      </c>
      <c r="E21" s="11">
        <f>'Full P&amp;L'!F50*100</f>
        <v/>
      </c>
      <c r="F21" s="12">
        <f>'Full P&amp;L'!F51*100</f>
        <v/>
      </c>
    </row>
    <row r="22" ht="12.75" customHeight="1" s="103">
      <c r="B22" s="6">
        <f>B21+1</f>
        <v/>
      </c>
      <c r="C22" s="11">
        <f>'Full P&amp;L'!G48*100</f>
        <v/>
      </c>
      <c r="D22" s="11">
        <f>'Full P&amp;L'!G49*100</f>
        <v/>
      </c>
      <c r="E22" s="11">
        <f>'Full P&amp;L'!G50*100</f>
        <v/>
      </c>
      <c r="F22" s="12">
        <f>'Full P&amp;L'!G51*100</f>
        <v/>
      </c>
    </row>
    <row r="23" ht="12.75" customHeight="1" s="103">
      <c r="B23" s="6">
        <f>B22+1</f>
        <v/>
      </c>
      <c r="C23" s="11">
        <f>'Full P&amp;L'!H48*100</f>
        <v/>
      </c>
      <c r="D23" s="11">
        <f>'Full P&amp;L'!H49*100</f>
        <v/>
      </c>
      <c r="E23" s="11">
        <f>'Full P&amp;L'!H50*100</f>
        <v/>
      </c>
      <c r="F23" s="12">
        <f>'Full P&amp;L'!H51*100</f>
        <v/>
      </c>
    </row>
    <row r="24" ht="12.75" customHeight="1" s="103">
      <c r="B24" s="6">
        <f>B23+1</f>
        <v/>
      </c>
      <c r="C24" s="11">
        <f>'Full P&amp;L'!I48*100</f>
        <v/>
      </c>
      <c r="D24" s="11">
        <f>'Full P&amp;L'!I49*100</f>
        <v/>
      </c>
      <c r="E24" s="11">
        <f>'Full P&amp;L'!I50*100</f>
        <v/>
      </c>
      <c r="F24" s="12">
        <f>'Full P&amp;L'!I51*100</f>
        <v/>
      </c>
    </row>
    <row r="25" ht="12.75" customHeight="1" s="103">
      <c r="B25" s="6">
        <f>B24+1</f>
        <v/>
      </c>
      <c r="C25" s="11">
        <f>'Full P&amp;L'!J48*100</f>
        <v/>
      </c>
      <c r="D25" s="11">
        <f>'Full P&amp;L'!J49*100</f>
        <v/>
      </c>
      <c r="E25" s="11">
        <f>'Full P&amp;L'!J50*100</f>
        <v/>
      </c>
      <c r="F25" s="12">
        <f>'Full P&amp;L'!J51*100</f>
        <v/>
      </c>
    </row>
    <row r="26" ht="12.75" customHeight="1" s="103">
      <c r="B26" s="6">
        <f>B25+1</f>
        <v/>
      </c>
      <c r="C26" s="11">
        <f>'Full P&amp;L'!K48*100</f>
        <v/>
      </c>
      <c r="D26" s="11">
        <f>'Full P&amp;L'!K49*100</f>
        <v/>
      </c>
      <c r="E26" s="11">
        <f>'Full P&amp;L'!K50*100</f>
        <v/>
      </c>
      <c r="F26" s="12">
        <f>'Full P&amp;L'!K51*100</f>
        <v/>
      </c>
    </row>
    <row r="29" ht="14.25" customHeight="1" s="103">
      <c r="B29" s="3" t="inlineStr">
        <is>
          <t>CHART 3: EBITDA ($M) &amp; Margin (%)</t>
        </is>
      </c>
      <c r="C29" s="4" t="n"/>
      <c r="D29" s="4" t="n"/>
      <c r="E29" s="4" t="n"/>
      <c r="F29" s="4" t="n"/>
    </row>
    <row r="30" ht="12.75" customHeight="1" s="103">
      <c r="B30" s="5" t="inlineStr">
        <is>
          <t>Year</t>
        </is>
      </c>
      <c r="C30" s="5" t="inlineStr">
        <is>
          <t>EBITDA ($M)</t>
        </is>
      </c>
      <c r="D30" s="5" t="inlineStr">
        <is>
          <t>EBITDA Margin</t>
        </is>
      </c>
      <c r="E30" s="5" t="inlineStr">
        <is>
          <t>Gross Margin</t>
        </is>
      </c>
      <c r="F30" s="5" t="inlineStr">
        <is>
          <t>Net Income ($M)</t>
        </is>
      </c>
    </row>
    <row r="31" ht="12.75" customHeight="1" s="103">
      <c r="B31" s="55" t="inlineStr">
        <is>
          <t>2026</t>
        </is>
      </c>
      <c r="C31" s="7">
        <f>'Full P&amp;L'!D38/1000</f>
        <v/>
      </c>
      <c r="D31" s="10">
        <f>'Full P&amp;L'!D39</f>
        <v/>
      </c>
      <c r="E31" s="10">
        <f>'Full P&amp;L'!D27</f>
        <v/>
      </c>
      <c r="F31" s="7">
        <f>'Full P&amp;L'!D44/1000</f>
        <v/>
      </c>
    </row>
    <row r="32" ht="12.75" customHeight="1" s="103">
      <c r="B32" s="6">
        <f>B31+1</f>
        <v/>
      </c>
      <c r="C32" s="7">
        <f>'Full P&amp;L'!E38/1000</f>
        <v/>
      </c>
      <c r="D32" s="10">
        <f>'Full P&amp;L'!E39</f>
        <v/>
      </c>
      <c r="E32" s="10">
        <f>'Full P&amp;L'!E27</f>
        <v/>
      </c>
      <c r="F32" s="7">
        <f>'Full P&amp;L'!E44/1000</f>
        <v/>
      </c>
    </row>
    <row r="33" ht="12.75" customHeight="1" s="103">
      <c r="B33" s="6">
        <f>B32+1</f>
        <v/>
      </c>
      <c r="C33" s="7">
        <f>'Full P&amp;L'!F38/1000</f>
        <v/>
      </c>
      <c r="D33" s="10">
        <f>'Full P&amp;L'!F39</f>
        <v/>
      </c>
      <c r="E33" s="10">
        <f>'Full P&amp;L'!F27</f>
        <v/>
      </c>
      <c r="F33" s="7">
        <f>'Full P&amp;L'!F44/1000</f>
        <v/>
      </c>
    </row>
    <row r="34" ht="12.75" customHeight="1" s="103">
      <c r="B34" s="6">
        <f>B33+1</f>
        <v/>
      </c>
      <c r="C34" s="7">
        <f>'Full P&amp;L'!G38/1000</f>
        <v/>
      </c>
      <c r="D34" s="10">
        <f>'Full P&amp;L'!G39</f>
        <v/>
      </c>
      <c r="E34" s="10">
        <f>'Full P&amp;L'!G27</f>
        <v/>
      </c>
      <c r="F34" s="7">
        <f>'Full P&amp;L'!G44/1000</f>
        <v/>
      </c>
    </row>
    <row r="35" ht="12.75" customHeight="1" s="103">
      <c r="B35" s="6">
        <f>B34+1</f>
        <v/>
      </c>
      <c r="C35" s="7">
        <f>'Full P&amp;L'!H38/1000</f>
        <v/>
      </c>
      <c r="D35" s="10">
        <f>'Full P&amp;L'!H39</f>
        <v/>
      </c>
      <c r="E35" s="10">
        <f>'Full P&amp;L'!H27</f>
        <v/>
      </c>
      <c r="F35" s="7">
        <f>'Full P&amp;L'!H44/1000</f>
        <v/>
      </c>
    </row>
    <row r="36" ht="12.75" customHeight="1" s="103">
      <c r="B36" s="6">
        <f>B35+1</f>
        <v/>
      </c>
      <c r="C36" s="7">
        <f>'Full P&amp;L'!I38/1000</f>
        <v/>
      </c>
      <c r="D36" s="10">
        <f>'Full P&amp;L'!I39</f>
        <v/>
      </c>
      <c r="E36" s="10">
        <f>'Full P&amp;L'!I27</f>
        <v/>
      </c>
      <c r="F36" s="7">
        <f>'Full P&amp;L'!I44/1000</f>
        <v/>
      </c>
    </row>
    <row r="37" ht="12.75" customHeight="1" s="103">
      <c r="B37" s="6">
        <f>B36+1</f>
        <v/>
      </c>
      <c r="C37" s="7">
        <f>'Full P&amp;L'!J38/1000</f>
        <v/>
      </c>
      <c r="D37" s="10">
        <f>'Full P&amp;L'!J39</f>
        <v/>
      </c>
      <c r="E37" s="10">
        <f>'Full P&amp;L'!J27</f>
        <v/>
      </c>
      <c r="F37" s="7">
        <f>'Full P&amp;L'!J44/1000</f>
        <v/>
      </c>
    </row>
    <row r="38" ht="12.75" customHeight="1" s="103">
      <c r="B38" s="6">
        <f>B37+1</f>
        <v/>
      </c>
      <c r="C38" s="7">
        <f>'Full P&amp;L'!K38/1000</f>
        <v/>
      </c>
      <c r="D38" s="10">
        <f>'Full P&amp;L'!K39</f>
        <v/>
      </c>
      <c r="E38" s="10">
        <f>'Full P&amp;L'!K27</f>
        <v/>
      </c>
      <c r="F38" s="7">
        <f>'Full P&amp;L'!K44/1000</f>
        <v/>
      </c>
    </row>
  </sheetData>
  <pageMargins left="0.75" right="0.75" top="1" bottom="1" header="0.5" footer="0.5"/>
  <pageSetup orientation="portrait"/>
  <headerFooter>
    <oddHeader>&amp;L&amp;C&amp;R</oddHeader>
    <oddFooter>&amp;L&amp;C&amp;R</oddFooter>
    <evenHeader/>
    <evenFooter/>
    <firstHeader/>
    <firstFooter/>
  </headerFooter>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B2:B42"/>
  <sheetViews>
    <sheetView showGridLines="0" workbookViewId="0">
      <selection activeCell="A1" sqref="A1"/>
    </sheetView>
  </sheetViews>
  <sheetFormatPr baseColWidth="8" defaultColWidth="9.109375" defaultRowHeight="15" customHeight="1"/>
  <cols>
    <col width="5" customWidth="1" style="103" min="1" max="1"/>
    <col width="95" customWidth="1" style="103" min="2" max="2"/>
  </cols>
  <sheetData>
    <row r="2" ht="15" customHeight="1" s="103">
      <c r="B2" s="1" t="inlineStr">
        <is>
          <t>THE $49.99 THESIS + ART INFRASTRUCTURE IP</t>
        </is>
      </c>
    </row>
    <row r="3" ht="15" customHeight="1" s="103">
      <c r="B3" s="2" t="inlineStr">
        <is>
          <t>8-year model. Conservative Y1 = 125-unit Community Drop (low-to-mid six figures forecasted). $600M+ in Year 8.</t>
        </is>
      </c>
    </row>
    <row r="4" ht="15" customHeight="1" s="103">
      <c r="B4" s="6" t="n"/>
    </row>
    <row r="5" ht="15" customHeight="1" s="103">
      <c r="B5" s="13" t="inlineStr">
        <is>
          <t>THREE STRATEGIC UNLOCKS:</t>
        </is>
      </c>
    </row>
    <row r="6" ht="15" customHeight="1" s="103">
      <c r="B6" s="6" t="n"/>
    </row>
    <row r="7" ht="15" customHeight="1" s="103">
      <c r="B7" s="13" t="inlineStr">
        <is>
          <t>1. NAILBOT 3.0 AT $49.99 = IMPULSE BUY</t>
        </is>
      </c>
    </row>
    <row r="8" ht="15" customHeight="1" s="103">
      <c r="B8" s="6" t="inlineStr">
        <is>
          <t xml:space="preserve">   Same shelf as Easy-Bake ($35-50), Instax Mini ($49-69), LOL Surprise ($49.99)</t>
        </is>
      </c>
    </row>
    <row r="9" ht="15" customHeight="1" s="103">
      <c r="B9" s="6" t="inlineStr">
        <is>
          <t xml:space="preserve">   Birthday gift sweet spot. Toy aisle. TikTok Shop &lt;$50.</t>
        </is>
      </c>
    </row>
    <row r="10" ht="15" customHeight="1" s="103">
      <c r="B10" s="6" t="inlineStr">
        <is>
          <t xml:space="preserve">   Can be positioned as toy version for ages 8-12.</t>
        </is>
      </c>
    </row>
    <row r="11" ht="15" customHeight="1" s="103">
      <c r="B11" s="6" t="inlineStr">
        <is>
          <t xml:space="preserve">   No motor = simple BOM ~$30 = 40% GM at $49.99.</t>
        </is>
      </c>
    </row>
    <row r="12" ht="15" customHeight="1" s="103">
      <c r="B12" s="6" t="n"/>
    </row>
    <row r="13" ht="15" customHeight="1" s="103">
      <c r="B13" s="13" t="inlineStr">
        <is>
          <t>2. STRATEGIC INTL DISTRIBUTION PARTNER</t>
        </is>
      </c>
    </row>
    <row r="14" ht="15" customHeight="1" s="103">
      <c r="B14" s="6" t="inlineStr">
        <is>
          <t xml:space="preserve">   Skip Cricut's 5-year crawl. Day 1 access to 30+ countries.</t>
        </is>
      </c>
    </row>
    <row r="15" ht="15" customHeight="1" s="103">
      <c r="B15" s="6" t="inlineStr">
        <is>
          <t xml:space="preserve">   $49.99 works globally without pricing localization.</t>
        </is>
      </c>
    </row>
    <row r="16" ht="15" customHeight="1" s="103">
      <c r="B16" s="6" t="inlineStr">
        <is>
          <t xml:space="preserve">   Cultural kits (Hindi, Arabic, K-pop) ARE the localization.</t>
        </is>
      </c>
    </row>
    <row r="17" ht="15" customHeight="1" s="103">
      <c r="B17" s="6" t="n"/>
    </row>
    <row r="18" ht="15" customHeight="1" s="103">
      <c r="B18" s="13" t="inlineStr">
        <is>
          <t>3. ART INFRASTRUCTURE IP = OWN THE ART LAYER</t>
        </is>
      </c>
    </row>
    <row r="19" ht="15" customHeight="1" s="103">
      <c r="B19" s="6" t="inlineStr">
        <is>
          <t xml:space="preserve">   Proprietary IP covering art layer printing infrastructure across multiple substrates.</t>
        </is>
      </c>
    </row>
    <row r="20" ht="15" customHeight="1" s="103">
      <c r="B20" s="6" t="inlineStr">
        <is>
          <t xml:space="preserve">   System-level integration across hardware, software, consumables, and materials science.</t>
        </is>
      </c>
    </row>
    <row r="21" ht="15" customHeight="1" s="103">
      <c r="B21" s="6" t="inlineStr">
        <is>
          <t xml:space="preserve">   Most companies touch one layer. Our IP covers the intersections.</t>
        </is>
      </c>
    </row>
    <row r="22" ht="15" customHeight="1" s="103">
      <c r="B22" s="6" t="inlineStr">
        <is>
          <t xml:space="preserve">   As smart beauty emerges, every entrant needs an art layer. We become the infrastructure.</t>
        </is>
      </c>
    </row>
    <row r="23" ht="15" customHeight="1" s="103">
      <c r="B23" s="6" t="inlineStr">
        <is>
          <t xml:space="preserve">   Licensable. 20-year defensibility window.</t>
        </is>
      </c>
    </row>
    <row r="24" ht="15" customHeight="1" s="103">
      <c r="B24" s="6" t="inlineStr">
        <is>
          <t xml:space="preserve">   Revenue starts 2029, scales to $25M+ by 2033.</t>
        </is>
      </c>
    </row>
    <row r="25" ht="15" customHeight="1" s="103">
      <c r="B25" s="6" t="inlineStr">
        <is>
          <t xml:space="preserve">   (Detailed patent scope available under NDA — not included in this model.)</t>
        </is>
      </c>
    </row>
    <row r="26" ht="15" customHeight="1" s="103">
      <c r="B26" s="6" t="n"/>
    </row>
    <row r="27" ht="15" customHeight="1" s="103">
      <c r="B27" s="13" t="inlineStr">
        <is>
          <t>YEAR 1 (2.0 LAUNCH): 125-unit Community Drop (5 NBCU-approved commercial + 20 co-brand commercial testers + 100 community testers). Standalone CPG launches across DTC and retail (Inklish, Pens, Press-Ons, Polish). Waitlist building. Brand activations executing. Low-to-mid six figures forecasted.</t>
        </is>
      </c>
    </row>
    <row r="28" ht="15" customHeight="1" s="103">
      <c r="B28" s="6" t="n"/>
    </row>
    <row r="29" ht="15" customHeight="1" s="103">
      <c r="B29" s="13" t="inlineStr">
        <is>
          <t>DEVICE ROADMAP:</t>
        </is>
      </c>
    </row>
    <row r="30" ht="15" customHeight="1" s="103">
      <c r="B30" s="6" t="inlineStr">
        <is>
          <t xml:space="preserve">   2026: Nailbot 2.0 launches via 125-unit Community Drop + co-brand commercial cohort</t>
        </is>
      </c>
    </row>
    <row r="31" ht="15" customHeight="1" s="103">
      <c r="B31" s="6" t="inlineStr">
        <is>
          <t xml:space="preserve">   2027: Entrepreneur-in-a-Box (portable + POS) + STEM kits</t>
        </is>
      </c>
    </row>
    <row r="32" ht="15" customHeight="1" s="103">
      <c r="B32" s="6" t="inlineStr">
        <is>
          <t xml:space="preserve">   2028: Nailbot 3.0 Swipe-to-Print ($49.99) + Polish Maker</t>
        </is>
      </c>
    </row>
    <row r="33" ht="15" customHeight="1" s="103">
      <c r="B33" s="6" t="inlineStr">
        <is>
          <t xml:space="preserve">   2029: Inkbot Tattoo Printer (body art / henna)</t>
        </is>
      </c>
    </row>
    <row r="34" ht="15" customHeight="1" s="103">
      <c r="B34" s="6" t="inlineStr">
        <is>
          <t xml:space="preserve">   2030: Makeup Robot (digital makeup, exploratory)</t>
        </is>
      </c>
    </row>
    <row r="35" ht="15" customHeight="1" s="103">
      <c r="B35" s="6" t="n"/>
    </row>
    <row r="36" ht="15" customHeight="1" s="103">
      <c r="B36" s="13" t="inlineStr">
        <is>
          <t>IP TODAY: 10 utility patents, 0 design patents.</t>
        </is>
      </c>
    </row>
    <row r="37" ht="15" customHeight="1" s="103">
      <c r="B37" s="6" t="inlineStr">
        <is>
          <t>Art Infrastructure IP: provisional filing in progress.</t>
        </is>
      </c>
    </row>
    <row r="38" ht="15" customHeight="1" s="103">
      <c r="B38" s="13" t="n"/>
    </row>
    <row r="39" ht="15" customHeight="1" s="103">
      <c r="B39" s="6" t="n"/>
    </row>
    <row r="40" ht="15" customHeight="1" s="103">
      <c r="B40" s="6" t="n"/>
    </row>
    <row r="41" ht="15" customHeight="1" s="103">
      <c r="B41" s="6" t="n"/>
    </row>
    <row r="42" ht="15" customHeight="1" s="103">
      <c r="B42" s="6" t="n"/>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5.xml><?xml version="1.0" encoding="utf-8"?>
<worksheet xmlns="http://schemas.openxmlformats.org/spreadsheetml/2006/main">
  <sheetPr>
    <outlinePr summaryBelow="1" summaryRight="1"/>
    <pageSetUpPr/>
  </sheetPr>
  <dimension ref="A2:R58"/>
  <sheetViews>
    <sheetView showGridLines="0" workbookViewId="0">
      <pane xSplit="3" ySplit="7" topLeftCell="D8" activePane="bottomRight" state="frozen"/>
      <selection pane="topRight" activeCell="C1" sqref="C1"/>
      <selection pane="bottomLeft" activeCell="A5" sqref="A5"/>
      <selection pane="bottomRight" activeCell="A1" sqref="A1"/>
    </sheetView>
  </sheetViews>
  <sheetFormatPr baseColWidth="8" defaultColWidth="9.109375" defaultRowHeight="15" customHeight="1"/>
  <cols>
    <col width="5" customWidth="1" style="103" min="1" max="1"/>
    <col width="28.5546875" customWidth="1" style="103" min="2" max="2"/>
    <col width="25.6640625" customWidth="1" style="103" min="3" max="3"/>
    <col width="14.33203125" customWidth="1" style="103" min="4" max="11"/>
  </cols>
  <sheetData>
    <row r="1" ht="14.4" customHeight="1" s="103"/>
    <row r="2" ht="18" customHeight="1" s="103">
      <c r="B2" s="1" t="inlineStr">
        <is>
          <t>HARDWARE — 8 Years, Device Breakdown</t>
        </is>
      </c>
    </row>
    <row r="3" ht="12.75" customHeight="1" s="103">
      <c r="B3" s="2" t="inlineStr">
        <is>
          <t>Conservative Y1 = 125-unit Community Drop. Scenario toggle in Scenario Control C3. 3.0 = volume engine from 2028.</t>
        </is>
      </c>
    </row>
    <row r="4" ht="15" customHeight="1" s="103">
      <c r="B4" s="86" t="inlineStr">
        <is>
          <t>LEGEND:</t>
        </is>
      </c>
    </row>
    <row r="5" ht="15" customHeight="1" s="103">
      <c r="A5" s="98" t="n"/>
      <c r="B5" s="87" t="inlineStr">
        <is>
          <t>Orange = hardcoded pricing (editable)</t>
        </is>
      </c>
      <c r="C5" s="98" t="n"/>
      <c r="D5" s="98" t="n"/>
      <c r="E5" s="98" t="n"/>
      <c r="F5" s="98" t="n"/>
      <c r="G5" s="98" t="n"/>
      <c r="H5" s="98" t="n"/>
      <c r="I5" s="98" t="n"/>
      <c r="J5" s="98" t="n"/>
      <c r="K5" s="98" t="n"/>
    </row>
    <row r="6" ht="15" customHeight="1" s="103">
      <c r="A6" s="98" t="n"/>
      <c r="B6" s="88" t="inlineStr">
        <is>
          <t>Green text = linked to Scenario Control</t>
        </is>
      </c>
      <c r="C6" s="98" t="n"/>
      <c r="D6" s="98" t="n"/>
      <c r="E6" s="98" t="n"/>
      <c r="F6" s="98" t="n"/>
      <c r="G6" s="98" t="n"/>
      <c r="H6" s="98" t="n"/>
      <c r="I6" s="98" t="n"/>
      <c r="J6" s="98" t="n"/>
      <c r="K6" s="98" t="n"/>
    </row>
    <row r="7" ht="13.5" customHeight="1" s="103">
      <c r="D7" s="14" t="inlineStr">
        <is>
          <t>2026</t>
        </is>
      </c>
      <c r="E7" s="14" t="inlineStr">
        <is>
          <t>2027</t>
        </is>
      </c>
      <c r="F7" s="14" t="inlineStr">
        <is>
          <t>2028</t>
        </is>
      </c>
      <c r="G7" s="14" t="inlineStr">
        <is>
          <t>2029</t>
        </is>
      </c>
      <c r="H7" s="14" t="inlineStr">
        <is>
          <t>2030</t>
        </is>
      </c>
      <c r="I7" s="14" t="inlineStr">
        <is>
          <t>2031</t>
        </is>
      </c>
      <c r="J7" s="14" t="inlineStr">
        <is>
          <t>2032</t>
        </is>
      </c>
      <c r="K7" s="14" t="inlineStr">
        <is>
          <t>2033</t>
        </is>
      </c>
    </row>
    <row r="8" ht="13.5" customHeight="1" s="103">
      <c r="B8" s="3" t="inlineStr">
        <is>
          <t>Conservative Y1: 100 own brand (community testers) + 25 co-brand (5 NBCU-approved + 20 commercial testers) = 125-unit Community Drop. Y2+ scales to volume manufacturing ramp.</t>
        </is>
      </c>
      <c r="C8" s="89" t="inlineStr">
        <is>
          <t>100 own brand Y1 (community testers)</t>
        </is>
      </c>
      <c r="D8" s="4" t="n"/>
      <c r="E8" s="4" t="n"/>
      <c r="F8" s="4" t="n"/>
      <c r="G8" s="4" t="n"/>
      <c r="H8" s="4" t="n"/>
      <c r="I8" s="4" t="n"/>
      <c r="J8" s="4" t="n"/>
      <c r="K8" s="4" t="n"/>
    </row>
    <row r="9" ht="12.75" customHeight="1" s="103">
      <c r="B9" s="6" t="inlineStr">
        <is>
          <t xml:space="preserve">  Units</t>
        </is>
      </c>
      <c r="C9" s="15" t="inlineStr">
        <is>
          <t>125-unit Community Drop Y1</t>
        </is>
      </c>
      <c r="D9" s="90">
        <f>'Scenario Control'!AE8</f>
        <v/>
      </c>
      <c r="E9" s="90">
        <f>'Scenario Control'!AF8</f>
        <v/>
      </c>
      <c r="F9" s="90">
        <f>'Scenario Control'!AG8</f>
        <v/>
      </c>
      <c r="G9" s="90">
        <f>'Scenario Control'!AH8</f>
        <v/>
      </c>
      <c r="H9" s="90">
        <f>'Scenario Control'!AI8</f>
        <v/>
      </c>
      <c r="I9" s="90">
        <f>'Scenario Control'!AJ8</f>
        <v/>
      </c>
      <c r="J9" s="90">
        <f>'Scenario Control'!AK8</f>
        <v/>
      </c>
      <c r="K9" s="90">
        <f>'Scenario Control'!AL8</f>
        <v/>
      </c>
    </row>
    <row r="10" ht="12.75" customHeight="1" s="103">
      <c r="B10" s="6" t="inlineStr">
        <is>
          <t>Price/Unit</t>
        </is>
      </c>
      <c r="C10" s="15" t="n"/>
      <c r="D10" s="91" t="n">
        <v>175</v>
      </c>
      <c r="E10" s="91" t="n">
        <v>164.9673202614379</v>
      </c>
      <c r="F10" s="91" t="n">
        <v>155.013698630137</v>
      </c>
      <c r="G10" s="91" t="n">
        <v>145</v>
      </c>
      <c r="H10" s="91" t="n">
        <v>135</v>
      </c>
      <c r="I10" s="91" t="n">
        <v>125</v>
      </c>
      <c r="J10" s="91" t="n">
        <v>119</v>
      </c>
      <c r="K10" s="91" t="n">
        <v>115</v>
      </c>
    </row>
    <row r="11" ht="12.75" customHeight="1" s="103">
      <c r="B11" s="6" t="inlineStr">
        <is>
          <t xml:space="preserve">  Rev ($K)</t>
        </is>
      </c>
      <c r="D11" s="66">
        <f>D9*D10/1000</f>
        <v/>
      </c>
      <c r="E11" s="66">
        <f>E9*E10/1000</f>
        <v/>
      </c>
      <c r="F11" s="66">
        <f>F9*F10/1000</f>
        <v/>
      </c>
      <c r="G11" s="66">
        <f>G9*G10/1000</f>
        <v/>
      </c>
      <c r="H11" s="66">
        <f>H9*H10/1000</f>
        <v/>
      </c>
      <c r="I11" s="66">
        <f>I9*I10/1000</f>
        <v/>
      </c>
      <c r="J11" s="66">
        <f>J9*J10/1000</f>
        <v/>
      </c>
      <c r="K11" s="66">
        <f>K9*K10/1000</f>
        <v/>
      </c>
    </row>
    <row r="13" ht="13.5" customHeight="1" s="103">
      <c r="B13" s="3" t="inlineStr">
        <is>
          <t>LICENSED PARTNER CO-BRAND</t>
        </is>
      </c>
      <c r="C13" s="4" t="n"/>
      <c r="D13" s="4" t="n"/>
      <c r="E13" s="4" t="n"/>
      <c r="F13" s="4" t="n"/>
      <c r="G13" s="4" t="n"/>
      <c r="H13" s="4" t="n"/>
      <c r="I13" s="4" t="n"/>
      <c r="J13" s="4" t="n"/>
      <c r="K13" s="4" t="n"/>
    </row>
    <row r="14" ht="12.75" customHeight="1" s="103">
      <c r="B14" s="6" t="inlineStr">
        <is>
          <t xml:space="preserve">  Units</t>
        </is>
      </c>
      <c r="C14" s="15" t="inlineStr">
        <is>
          <t>25 co-brand Y1 (5 NBCU-approved + 20 commercial testers). Volume in 2.0 Scale.</t>
        </is>
      </c>
      <c r="D14" s="90">
        <f>'Scenario Control'!AE9</f>
        <v/>
      </c>
      <c r="E14" s="90">
        <f>'Scenario Control'!AF9</f>
        <v/>
      </c>
      <c r="F14" s="90">
        <f>'Scenario Control'!AG9</f>
        <v/>
      </c>
      <c r="G14" s="90">
        <f>'Scenario Control'!AH9</f>
        <v/>
      </c>
      <c r="H14" s="90">
        <f>'Scenario Control'!AI9</f>
        <v/>
      </c>
      <c r="I14" s="90">
        <f>'Scenario Control'!AJ9</f>
        <v/>
      </c>
      <c r="J14" s="90">
        <f>'Scenario Control'!AK9</f>
        <v/>
      </c>
      <c r="K14" s="90">
        <f>'Scenario Control'!AL9</f>
        <v/>
      </c>
    </row>
    <row r="15" ht="12.75" customHeight="1" s="103">
      <c r="B15" s="6" t="inlineStr">
        <is>
          <t>Price/Unit</t>
        </is>
      </c>
      <c r="C15" s="15" t="n"/>
      <c r="D15" s="91" t="n">
        <v>175</v>
      </c>
      <c r="E15" s="91" t="n">
        <v>169</v>
      </c>
      <c r="F15" s="91" t="n">
        <v>159</v>
      </c>
      <c r="G15" s="91" t="n">
        <v>149</v>
      </c>
      <c r="H15" s="91" t="n">
        <v>139</v>
      </c>
      <c r="I15" s="91" t="n">
        <v>129</v>
      </c>
      <c r="J15" s="91" t="n">
        <v>119</v>
      </c>
      <c r="K15" s="91" t="n">
        <v>115</v>
      </c>
    </row>
    <row r="16" ht="12.75" customHeight="1" s="103">
      <c r="B16" s="6" t="inlineStr">
        <is>
          <t xml:space="preserve">  Rev ($K)</t>
        </is>
      </c>
      <c r="D16" s="66">
        <f>D14*D15/1000</f>
        <v/>
      </c>
      <c r="E16" s="66">
        <f>E14*E15/1000</f>
        <v/>
      </c>
      <c r="F16" s="66">
        <f>F14*F15/1000</f>
        <v/>
      </c>
      <c r="G16" s="66">
        <f>G14*G15/1000</f>
        <v/>
      </c>
      <c r="H16" s="66">
        <f>H14*H15/1000</f>
        <v/>
      </c>
      <c r="I16" s="66">
        <f>I14*I15/1000</f>
        <v/>
      </c>
      <c r="J16" s="66">
        <f>J14*J15/1000</f>
        <v/>
      </c>
      <c r="K16" s="66">
        <f>K14*K15/1000</f>
        <v/>
      </c>
    </row>
    <row r="18" ht="13.5" customHeight="1" s="103">
      <c r="B18" s="3" t="inlineStr">
        <is>
          <t>⭐ 3.0 SWIPE-TO-PRINT ($49.99)</t>
        </is>
      </c>
      <c r="C18" s="4" t="n"/>
      <c r="D18" s="4" t="n"/>
      <c r="E18" s="4" t="n"/>
      <c r="F18" s="4" t="n"/>
      <c r="G18" s="4" t="n"/>
      <c r="H18" s="4" t="n"/>
      <c r="I18" s="4" t="n"/>
      <c r="J18" s="4" t="n"/>
      <c r="K18" s="4" t="n"/>
    </row>
    <row r="19" ht="12.75" customHeight="1" s="103">
      <c r="B19" s="6" t="inlineStr">
        <is>
          <t xml:space="preserve">  Units</t>
        </is>
      </c>
      <c r="C19" s="15" t="inlineStr">
        <is>
          <t>Mass market 2028+</t>
        </is>
      </c>
      <c r="D19" s="90">
        <f>'Scenario Control'!AE10</f>
        <v/>
      </c>
      <c r="E19" s="90">
        <f>'Scenario Control'!AF10</f>
        <v/>
      </c>
      <c r="F19" s="90">
        <f>'Scenario Control'!AG10</f>
        <v/>
      </c>
      <c r="G19" s="90">
        <f>'Scenario Control'!AH10</f>
        <v/>
      </c>
      <c r="H19" s="90">
        <f>'Scenario Control'!AI10</f>
        <v/>
      </c>
      <c r="I19" s="90">
        <f>'Scenario Control'!AJ10</f>
        <v/>
      </c>
      <c r="J19" s="90">
        <f>'Scenario Control'!AK10</f>
        <v/>
      </c>
      <c r="K19" s="90">
        <f>'Scenario Control'!AL10</f>
        <v/>
      </c>
    </row>
    <row r="20" ht="12.75" customHeight="1" s="103">
      <c r="B20" s="6" t="inlineStr">
        <is>
          <t>Price/Unit</t>
        </is>
      </c>
      <c r="C20" s="15" t="n"/>
      <c r="D20" s="91" t="n">
        <v>0</v>
      </c>
      <c r="E20" s="91" t="n">
        <v>0</v>
      </c>
      <c r="F20" s="91" t="n">
        <v>49.98630136986301</v>
      </c>
      <c r="G20" s="91" t="n">
        <v>49.98965517241379</v>
      </c>
      <c r="H20" s="91" t="n">
        <v>49.98974358974359</v>
      </c>
      <c r="I20" s="91" t="n">
        <v>47.98967741935484</v>
      </c>
      <c r="J20" s="91" t="n">
        <v>45.98980392156863</v>
      </c>
      <c r="K20" s="91" t="n">
        <v>44.99</v>
      </c>
    </row>
    <row r="21" ht="12.75" customHeight="1" s="103">
      <c r="B21" s="6" t="inlineStr">
        <is>
          <t xml:space="preserve">  Rev ($K)</t>
        </is>
      </c>
      <c r="D21" s="66">
        <f>D19*D20/1000</f>
        <v/>
      </c>
      <c r="E21" s="66">
        <f>E19*E20/1000</f>
        <v/>
      </c>
      <c r="F21" s="66">
        <f>F19*F20/1000</f>
        <v/>
      </c>
      <c r="G21" s="66">
        <f>G19*G20/1000</f>
        <v/>
      </c>
      <c r="H21" s="66">
        <f>H19*H20/1000</f>
        <v/>
      </c>
      <c r="I21" s="66">
        <f>I19*I20/1000</f>
        <v/>
      </c>
      <c r="J21" s="66">
        <f>J19*J20/1000</f>
        <v/>
      </c>
      <c r="K21" s="66">
        <f>K19*K20/1000</f>
        <v/>
      </c>
    </row>
    <row r="22" ht="15" customHeight="1" s="103">
      <c r="M22" s="57" t="n"/>
      <c r="N22" s="57" t="n"/>
      <c r="O22" s="57" t="n"/>
      <c r="P22" s="57" t="n"/>
      <c r="Q22" s="57" t="n"/>
      <c r="R22" s="57" t="n"/>
    </row>
    <row r="23" ht="12.75" customHeight="1" s="103">
      <c r="B23" s="56" t="inlineStr">
        <is>
          <t xml:space="preserve">  3.0 USA</t>
        </is>
      </c>
      <c r="C23" s="4" t="n"/>
      <c r="D23" s="90">
        <f>'Scenario Control'!AE11</f>
        <v/>
      </c>
      <c r="E23" s="90">
        <f>'Scenario Control'!AF11</f>
        <v/>
      </c>
      <c r="F23" s="90">
        <f>'Scenario Control'!AG11</f>
        <v/>
      </c>
      <c r="G23" s="90">
        <f>'Scenario Control'!AH11</f>
        <v/>
      </c>
      <c r="H23" s="90">
        <f>'Scenario Control'!AI11</f>
        <v/>
      </c>
      <c r="I23" s="90">
        <f>'Scenario Control'!AJ11</f>
        <v/>
      </c>
      <c r="J23" s="90">
        <f>'Scenario Control'!AK11</f>
        <v/>
      </c>
      <c r="K23" s="90">
        <f>'Scenario Control'!AL11</f>
        <v/>
      </c>
    </row>
    <row r="24" ht="12.75" customHeight="1" s="103">
      <c r="B24" s="6" t="inlineStr">
        <is>
          <t xml:space="preserve">  3.0 INTL (partner)</t>
        </is>
      </c>
      <c r="C24" s="15" t="inlineStr">
        <is>
          <t>30+ countries via strategic partner</t>
        </is>
      </c>
      <c r="D24" s="90">
        <f>'Scenario Control'!AE12</f>
        <v/>
      </c>
      <c r="E24" s="90">
        <f>'Scenario Control'!AF12</f>
        <v/>
      </c>
      <c r="F24" s="90">
        <f>'Scenario Control'!AG12</f>
        <v/>
      </c>
      <c r="G24" s="90">
        <f>'Scenario Control'!AH12</f>
        <v/>
      </c>
      <c r="H24" s="90">
        <f>'Scenario Control'!AI12</f>
        <v/>
      </c>
      <c r="I24" s="90">
        <f>'Scenario Control'!AJ12</f>
        <v/>
      </c>
      <c r="J24" s="90">
        <f>'Scenario Control'!AK12</f>
        <v/>
      </c>
      <c r="K24" s="90">
        <f>'Scenario Control'!AL12</f>
        <v/>
      </c>
    </row>
    <row r="25" ht="12.75" customHeight="1" s="103">
      <c r="B25" s="92" t="inlineStr">
        <is>
          <t>INTL $/unit (net royalty to Preemadonna)</t>
        </is>
      </c>
      <c r="C25" s="15" t="n"/>
      <c r="D25" s="91" t="n">
        <v>0</v>
      </c>
      <c r="E25" s="91" t="n">
        <v>0</v>
      </c>
      <c r="F25" s="91" t="n">
        <v>36.66666666666666</v>
      </c>
      <c r="G25" s="91" t="n">
        <v>15</v>
      </c>
      <c r="H25" s="91" t="n">
        <v>8.5</v>
      </c>
      <c r="I25" s="91" t="n">
        <v>5.6</v>
      </c>
      <c r="J25" s="91" t="n">
        <v>4.166666666666667</v>
      </c>
      <c r="K25" s="91" t="n">
        <v>4</v>
      </c>
    </row>
    <row r="26" ht="12.75" customHeight="1" s="103">
      <c r="B26" s="6" t="inlineStr">
        <is>
          <t xml:space="preserve">  Rev ($K)</t>
        </is>
      </c>
      <c r="D26" s="66">
        <f>D24*D25/1000</f>
        <v/>
      </c>
      <c r="E26" s="66">
        <f>E24*E25/1000</f>
        <v/>
      </c>
      <c r="F26" s="66">
        <f>F24*F25/1000</f>
        <v/>
      </c>
      <c r="G26" s="66">
        <f>G24*G25/1000</f>
        <v/>
      </c>
      <c r="H26" s="66">
        <f>H24*H25/1000</f>
        <v/>
      </c>
      <c r="I26" s="66">
        <f>I24*I25/1000</f>
        <v/>
      </c>
      <c r="J26" s="66">
        <f>J24*J25/1000</f>
        <v/>
      </c>
      <c r="K26" s="66">
        <f>K24*K25/1000</f>
        <v/>
      </c>
    </row>
    <row r="28" ht="13.5" customHeight="1" s="103">
      <c r="B28" s="3" t="inlineStr">
        <is>
          <t>ENTREPRENEUR-IN-A-BOX (2027)</t>
        </is>
      </c>
      <c r="C28" s="4" t="n"/>
      <c r="D28" s="4" t="n"/>
      <c r="E28" s="4" t="n"/>
      <c r="F28" s="4" t="n"/>
      <c r="G28" s="4" t="n"/>
      <c r="H28" s="4" t="n"/>
      <c r="I28" s="4" t="n"/>
      <c r="J28" s="4" t="n"/>
      <c r="K28" s="4" t="n"/>
    </row>
    <row r="29" ht="12.75" customHeight="1" s="103">
      <c r="B29" s="6" t="inlineStr">
        <is>
          <t xml:space="preserve">  Units</t>
        </is>
      </c>
      <c r="C29" s="15" t="inlineStr">
        <is>
          <t>Portable + POS</t>
        </is>
      </c>
      <c r="D29" s="90">
        <f>'Scenario Control'!AE13</f>
        <v/>
      </c>
      <c r="E29" s="90">
        <f>'Scenario Control'!AF13</f>
        <v/>
      </c>
      <c r="F29" s="90">
        <f>'Scenario Control'!AG13</f>
        <v/>
      </c>
      <c r="G29" s="90">
        <f>'Scenario Control'!AH13</f>
        <v/>
      </c>
      <c r="H29" s="90">
        <f>'Scenario Control'!AI13</f>
        <v/>
      </c>
      <c r="I29" s="90">
        <f>'Scenario Control'!AJ13</f>
        <v/>
      </c>
      <c r="J29" s="90">
        <f>'Scenario Control'!AK13</f>
        <v/>
      </c>
      <c r="K29" s="90">
        <f>'Scenario Control'!AL13</f>
        <v/>
      </c>
    </row>
    <row r="30" ht="12.75" customHeight="1" s="103">
      <c r="B30" s="6" t="inlineStr">
        <is>
          <t>Price/Unit</t>
        </is>
      </c>
      <c r="C30" s="15" t="n"/>
      <c r="D30" s="91" t="n">
        <v>0</v>
      </c>
      <c r="E30" s="91" t="n">
        <v>300</v>
      </c>
      <c r="F30" s="91" t="n">
        <v>279</v>
      </c>
      <c r="G30" s="91" t="n">
        <v>259</v>
      </c>
      <c r="H30" s="91" t="n">
        <v>239</v>
      </c>
      <c r="I30" s="91" t="n">
        <v>219</v>
      </c>
      <c r="J30" s="91" t="n">
        <v>199</v>
      </c>
      <c r="K30" s="91" t="n">
        <v>189</v>
      </c>
    </row>
    <row r="31" ht="12.75" customHeight="1" s="103">
      <c r="B31" s="6" t="inlineStr">
        <is>
          <t xml:space="preserve">  Rev ($K)</t>
        </is>
      </c>
      <c r="D31" s="66">
        <f>D29*D30/1000</f>
        <v/>
      </c>
      <c r="E31" s="66">
        <f>E29*E30/1000</f>
        <v/>
      </c>
      <c r="F31" s="66">
        <f>F29*F30/1000</f>
        <v/>
      </c>
      <c r="G31" s="66">
        <f>G29*G30/1000</f>
        <v/>
      </c>
      <c r="H31" s="66">
        <f>H29*H30/1000</f>
        <v/>
      </c>
      <c r="I31" s="66">
        <f>I29*I30/1000</f>
        <v/>
      </c>
      <c r="J31" s="66">
        <f>J29*J30/1000</f>
        <v/>
      </c>
      <c r="K31" s="66">
        <f>K29*K30/1000</f>
        <v/>
      </c>
    </row>
    <row r="33" ht="13.5" customHeight="1" s="103">
      <c r="B33" s="3" t="inlineStr">
        <is>
          <t>POLISH MAKER (2028)</t>
        </is>
      </c>
      <c r="C33" s="4" t="n"/>
      <c r="D33" s="4" t="n"/>
      <c r="E33" s="4" t="n"/>
      <c r="F33" s="4" t="n"/>
      <c r="G33" s="4" t="n"/>
      <c r="H33" s="4" t="n"/>
      <c r="I33" s="4" t="n"/>
      <c r="J33" s="4" t="n"/>
      <c r="K33" s="4" t="n"/>
    </row>
    <row r="34" ht="12.75" customHeight="1" s="103">
      <c r="B34" s="6" t="inlineStr">
        <is>
          <t xml:space="preserve">  Units</t>
        </is>
      </c>
      <c r="C34" s="15" t="inlineStr">
        <is>
          <t>Custom color mixing</t>
        </is>
      </c>
      <c r="D34" s="90">
        <f>'Scenario Control'!AE14</f>
        <v/>
      </c>
      <c r="E34" s="90">
        <f>'Scenario Control'!AF14</f>
        <v/>
      </c>
      <c r="F34" s="90">
        <f>'Scenario Control'!AG14</f>
        <v/>
      </c>
      <c r="G34" s="90">
        <f>'Scenario Control'!AH14</f>
        <v/>
      </c>
      <c r="H34" s="90">
        <f>'Scenario Control'!AI14</f>
        <v/>
      </c>
      <c r="I34" s="90">
        <f>'Scenario Control'!AJ14</f>
        <v/>
      </c>
      <c r="J34" s="90">
        <f>'Scenario Control'!AK14</f>
        <v/>
      </c>
      <c r="K34" s="90">
        <f>'Scenario Control'!AL14</f>
        <v/>
      </c>
    </row>
    <row r="35" ht="12.75" customHeight="1" s="103">
      <c r="B35" s="6" t="inlineStr">
        <is>
          <t>Price/Unit</t>
        </is>
      </c>
      <c r="C35" s="15" t="n"/>
      <c r="D35" s="91" t="n">
        <v>0</v>
      </c>
      <c r="E35" s="91" t="n">
        <v>0</v>
      </c>
      <c r="F35" s="91" t="n">
        <v>50</v>
      </c>
      <c r="G35" s="91" t="n">
        <v>46</v>
      </c>
      <c r="H35" s="91" t="n">
        <v>43</v>
      </c>
      <c r="I35" s="91" t="n">
        <v>39.98387096774194</v>
      </c>
      <c r="J35" s="91" t="n">
        <v>36.98888888888889</v>
      </c>
      <c r="K35" s="91" t="n">
        <v>34.99090909090909</v>
      </c>
    </row>
    <row r="36" ht="12.75" customHeight="1" s="103">
      <c r="B36" s="6" t="inlineStr">
        <is>
          <t xml:space="preserve">  Rev ($K)</t>
        </is>
      </c>
      <c r="D36" s="66">
        <f>D34*D35/1000</f>
        <v/>
      </c>
      <c r="E36" s="66">
        <f>E34*E35/1000</f>
        <v/>
      </c>
      <c r="F36" s="66">
        <f>F34*F35/1000</f>
        <v/>
      </c>
      <c r="G36" s="66">
        <f>G34*G35/1000</f>
        <v/>
      </c>
      <c r="H36" s="66">
        <f>H34*H35/1000</f>
        <v/>
      </c>
      <c r="I36" s="66">
        <f>I34*I35/1000</f>
        <v/>
      </c>
      <c r="J36" s="66">
        <f>J34*J35/1000</f>
        <v/>
      </c>
      <c r="K36" s="66">
        <f>K34*K35/1000</f>
        <v/>
      </c>
    </row>
    <row r="38" ht="13.5" customHeight="1" s="103">
      <c r="B38" s="3" t="inlineStr">
        <is>
          <t>INKBOT TATTOO (2029)</t>
        </is>
      </c>
      <c r="C38" s="4" t="n"/>
      <c r="D38" s="4" t="n"/>
      <c r="E38" s="4" t="n"/>
      <c r="F38" s="4" t="n"/>
      <c r="G38" s="4" t="n"/>
      <c r="H38" s="4" t="n"/>
      <c r="I38" s="4" t="n"/>
      <c r="J38" s="4" t="n"/>
      <c r="K38" s="4" t="n"/>
    </row>
    <row r="39" ht="12.75" customHeight="1" s="103">
      <c r="B39" s="6" t="inlineStr">
        <is>
          <t xml:space="preserve">  Units</t>
        </is>
      </c>
      <c r="C39" s="15" t="inlineStr">
        <is>
          <t>Body art / henna</t>
        </is>
      </c>
      <c r="D39" s="90">
        <f>'Scenario Control'!AE15</f>
        <v/>
      </c>
      <c r="E39" s="90">
        <f>'Scenario Control'!AF15</f>
        <v/>
      </c>
      <c r="F39" s="90">
        <f>'Scenario Control'!AG15</f>
        <v/>
      </c>
      <c r="G39" s="90">
        <f>'Scenario Control'!AH15</f>
        <v/>
      </c>
      <c r="H39" s="90">
        <f>'Scenario Control'!AI15</f>
        <v/>
      </c>
      <c r="I39" s="90">
        <f>'Scenario Control'!AJ15</f>
        <v/>
      </c>
      <c r="J39" s="90">
        <f>'Scenario Control'!AK15</f>
        <v/>
      </c>
      <c r="K39" s="90">
        <f>'Scenario Control'!AL15</f>
        <v/>
      </c>
    </row>
    <row r="40" ht="12.75" customHeight="1" s="103">
      <c r="B40" s="6" t="inlineStr">
        <is>
          <t>Price/Unit</t>
        </is>
      </c>
      <c r="C40" s="15" t="n"/>
      <c r="D40" s="91" t="n">
        <v>0</v>
      </c>
      <c r="E40" s="91" t="n">
        <v>0</v>
      </c>
      <c r="F40" s="91" t="n">
        <v>0</v>
      </c>
      <c r="G40" s="91" t="n">
        <v>199</v>
      </c>
      <c r="H40" s="91" t="n">
        <v>179</v>
      </c>
      <c r="I40" s="91" t="n">
        <v>159</v>
      </c>
      <c r="J40" s="91" t="n">
        <v>139</v>
      </c>
      <c r="K40" s="91" t="n">
        <v>129</v>
      </c>
    </row>
    <row r="41" ht="12.75" customHeight="1" s="103">
      <c r="B41" s="6" t="inlineStr">
        <is>
          <t xml:space="preserve">  Rev ($K)</t>
        </is>
      </c>
      <c r="D41" s="66">
        <f>D39*D40/1000</f>
        <v/>
      </c>
      <c r="E41" s="66">
        <f>E39*E40/1000</f>
        <v/>
      </c>
      <c r="F41" s="66">
        <f>F39*F40/1000</f>
        <v/>
      </c>
      <c r="G41" s="66">
        <f>G39*G40/1000</f>
        <v/>
      </c>
      <c r="H41" s="66">
        <f>H39*H40/1000</f>
        <v/>
      </c>
      <c r="I41" s="66">
        <f>I39*I40/1000</f>
        <v/>
      </c>
      <c r="J41" s="66">
        <f>J39*J40/1000</f>
        <v/>
      </c>
      <c r="K41" s="66">
        <f>K39*K40/1000</f>
        <v/>
      </c>
    </row>
    <row r="43" ht="13.5" customHeight="1" s="103">
      <c r="B43" s="3" t="inlineStr">
        <is>
          <t>MAKEUP ROBOT (2030)</t>
        </is>
      </c>
      <c r="C43" s="4" t="n"/>
      <c r="D43" s="4" t="n"/>
      <c r="E43" s="4" t="n"/>
      <c r="F43" s="4" t="n"/>
      <c r="G43" s="4" t="n"/>
      <c r="H43" s="4" t="n"/>
      <c r="I43" s="4" t="n"/>
      <c r="J43" s="4" t="n"/>
      <c r="K43" s="4" t="n"/>
    </row>
    <row r="44" ht="12.75" customHeight="1" s="103">
      <c r="B44" s="6" t="inlineStr">
        <is>
          <t xml:space="preserve">  Units</t>
        </is>
      </c>
      <c r="C44" s="15" t="inlineStr">
        <is>
          <t>Digital makeup, exploratory</t>
        </is>
      </c>
      <c r="D44" s="90">
        <f>'Scenario Control'!AE16</f>
        <v/>
      </c>
      <c r="E44" s="90">
        <f>'Scenario Control'!AF16</f>
        <v/>
      </c>
      <c r="F44" s="90">
        <f>'Scenario Control'!AG16</f>
        <v/>
      </c>
      <c r="G44" s="90">
        <f>'Scenario Control'!AH16</f>
        <v/>
      </c>
      <c r="H44" s="90">
        <f>'Scenario Control'!AI16</f>
        <v/>
      </c>
      <c r="I44" s="90">
        <f>'Scenario Control'!AJ16</f>
        <v/>
      </c>
      <c r="J44" s="90">
        <f>'Scenario Control'!AK16</f>
        <v/>
      </c>
      <c r="K44" s="90">
        <f>'Scenario Control'!AL16</f>
        <v/>
      </c>
    </row>
    <row r="45" ht="12.75" customHeight="1" s="103">
      <c r="B45" s="6" t="inlineStr">
        <is>
          <t>Price/Unit</t>
        </is>
      </c>
      <c r="C45" s="15" t="n"/>
      <c r="D45" s="91" t="n">
        <v>0</v>
      </c>
      <c r="E45" s="91" t="n">
        <v>0</v>
      </c>
      <c r="F45" s="91" t="n">
        <v>0</v>
      </c>
      <c r="G45" s="91" t="n">
        <v>0</v>
      </c>
      <c r="H45" s="91" t="n">
        <v>249</v>
      </c>
      <c r="I45" s="91" t="n">
        <v>229</v>
      </c>
      <c r="J45" s="91" t="n">
        <v>199</v>
      </c>
      <c r="K45" s="91" t="n">
        <v>179</v>
      </c>
    </row>
    <row r="46" ht="12.75" customHeight="1" s="103">
      <c r="B46" s="6" t="inlineStr">
        <is>
          <t xml:space="preserve">  Rev ($K)</t>
        </is>
      </c>
      <c r="D46" s="66">
        <f>D44*D45/1000</f>
        <v/>
      </c>
      <c r="E46" s="66">
        <f>E44*E45/1000</f>
        <v/>
      </c>
      <c r="F46" s="66">
        <f>F44*F45/1000</f>
        <v/>
      </c>
      <c r="G46" s="66">
        <f>G44*G45/1000</f>
        <v/>
      </c>
      <c r="H46" s="66">
        <f>H44*H45/1000</f>
        <v/>
      </c>
      <c r="I46" s="66">
        <f>I44*I45/1000</f>
        <v/>
      </c>
      <c r="J46" s="66">
        <f>J44*J45/1000</f>
        <v/>
      </c>
      <c r="K46" s="66">
        <f>K44*K45/1000</f>
        <v/>
      </c>
    </row>
    <row r="48" ht="13.5" customHeight="1" s="103">
      <c r="B48" s="3" t="inlineStr">
        <is>
          <t>STEM KIT</t>
        </is>
      </c>
      <c r="C48" s="4" t="n"/>
      <c r="D48" s="4" t="n"/>
      <c r="E48" s="4" t="n"/>
      <c r="F48" s="4" t="n"/>
      <c r="G48" s="4" t="n"/>
      <c r="H48" s="4" t="n"/>
      <c r="I48" s="4" t="n"/>
      <c r="J48" s="4" t="n"/>
      <c r="K48" s="4" t="n"/>
    </row>
    <row r="49" ht="12.75" customHeight="1" s="103">
      <c r="B49" s="6" t="inlineStr">
        <is>
          <t xml:space="preserve">  Units</t>
        </is>
      </c>
      <c r="D49" s="90">
        <f>'Scenario Control'!AE17</f>
        <v/>
      </c>
      <c r="E49" s="90">
        <f>'Scenario Control'!AF17</f>
        <v/>
      </c>
      <c r="F49" s="90">
        <f>'Scenario Control'!AG17</f>
        <v/>
      </c>
      <c r="G49" s="90">
        <f>'Scenario Control'!AH17</f>
        <v/>
      </c>
      <c r="H49" s="90">
        <f>'Scenario Control'!AI17</f>
        <v/>
      </c>
      <c r="I49" s="90">
        <f>'Scenario Control'!AJ17</f>
        <v/>
      </c>
      <c r="J49" s="90">
        <f>'Scenario Control'!AK17</f>
        <v/>
      </c>
      <c r="K49" s="90">
        <f>'Scenario Control'!AL17</f>
        <v/>
      </c>
    </row>
    <row r="50" ht="12.75" customHeight="1" s="103">
      <c r="B50" s="6" t="inlineStr">
        <is>
          <t>Price/Unit</t>
        </is>
      </c>
      <c r="D50" s="91" t="n">
        <v>0</v>
      </c>
      <c r="E50" s="91" t="n">
        <v>79</v>
      </c>
      <c r="F50" s="91" t="n">
        <v>69</v>
      </c>
      <c r="G50" s="91" t="n">
        <v>59</v>
      </c>
      <c r="H50" s="91" t="n">
        <v>55</v>
      </c>
      <c r="I50" s="91" t="n">
        <v>49</v>
      </c>
      <c r="J50" s="91" t="n">
        <v>45</v>
      </c>
      <c r="K50" s="91" t="n">
        <v>42</v>
      </c>
    </row>
    <row r="51" ht="12.75" customHeight="1" s="103">
      <c r="B51" s="6" t="inlineStr">
        <is>
          <t xml:space="preserve">  Rev ($K)</t>
        </is>
      </c>
      <c r="D51" s="66">
        <f>D49*D50/1000</f>
        <v/>
      </c>
      <c r="E51" s="66">
        <f>E49*E50/1000</f>
        <v/>
      </c>
      <c r="F51" s="66">
        <f>F49*F50/1000</f>
        <v/>
      </c>
      <c r="G51" s="66">
        <f>G49*G50/1000</f>
        <v/>
      </c>
      <c r="H51" s="66">
        <f>H49*H50/1000</f>
        <v/>
      </c>
      <c r="I51" s="66">
        <f>I49*I50/1000</f>
        <v/>
      </c>
      <c r="J51" s="66">
        <f>J49*J50/1000</f>
        <v/>
      </c>
      <c r="K51" s="66">
        <f>K49*K50/1000</f>
        <v/>
      </c>
    </row>
    <row r="53" ht="13.5" customHeight="1" s="103">
      <c r="B53" s="3" t="inlineStr">
        <is>
          <t>TOTALS</t>
        </is>
      </c>
      <c r="C53" s="4" t="n"/>
      <c r="D53" s="4" t="n"/>
      <c r="E53" s="4" t="n"/>
      <c r="F53" s="4" t="n"/>
      <c r="G53" s="4" t="n"/>
      <c r="H53" s="4" t="n"/>
      <c r="I53" s="4" t="n"/>
      <c r="J53" s="4" t="n"/>
      <c r="K53" s="4" t="n"/>
    </row>
    <row r="54" ht="13.5" customHeight="1" s="103">
      <c r="B54" s="16" t="inlineStr">
        <is>
          <t>Total Units</t>
        </is>
      </c>
      <c r="D54" s="17">
        <f>D9+D14+D19+D29+D34+D39+D44+D49</f>
        <v/>
      </c>
      <c r="E54" s="17">
        <f>E9+E14+E19+E29+E34+E39+E44+E49</f>
        <v/>
      </c>
      <c r="F54" s="17">
        <f>F9+F14+F19+F29+F34+F39+F44+F49</f>
        <v/>
      </c>
      <c r="G54" s="17">
        <f>G9+G14+G19+G29+G34+G39+G44+G49</f>
        <v/>
      </c>
      <c r="H54" s="17">
        <f>H9+H14+H19+H29+H34+H39+H44+H49</f>
        <v/>
      </c>
      <c r="I54" s="17">
        <f>I9+I14+I19+I29+I34+I39+I44+I49</f>
        <v/>
      </c>
      <c r="J54" s="17">
        <f>J9+J14+J19+J29+J34+J39+J44+J49</f>
        <v/>
      </c>
      <c r="K54" s="17">
        <f>K9+K14+K19+K29+K34+K39+K44+K49</f>
        <v/>
      </c>
    </row>
    <row r="55" ht="12.75" customHeight="1" s="103">
      <c r="B55" s="6" t="inlineStr">
        <is>
          <t>Installed Base</t>
        </is>
      </c>
      <c r="D55" s="18">
        <f>D54</f>
        <v/>
      </c>
      <c r="E55" s="18">
        <f>D55+E54</f>
        <v/>
      </c>
      <c r="F55" s="18">
        <f>E55+F54</f>
        <v/>
      </c>
      <c r="G55" s="18">
        <f>F55+G54</f>
        <v/>
      </c>
      <c r="H55" s="18">
        <f>G55+H54</f>
        <v/>
      </c>
      <c r="I55" s="18">
        <f>H55+I54</f>
        <v/>
      </c>
      <c r="J55" s="18">
        <f>I55+J54</f>
        <v/>
      </c>
      <c r="K55" s="18">
        <f>J55+K54</f>
        <v/>
      </c>
    </row>
    <row r="56" ht="13.5" customHeight="1" s="103">
      <c r="B56" s="16" t="inlineStr">
        <is>
          <t>Total HW Rev ($K)</t>
        </is>
      </c>
      <c r="D56" s="19">
        <f>D11+D16+D21+D26+D31+D36+D41+D46+D51</f>
        <v/>
      </c>
      <c r="E56" s="19">
        <f>E11+E16+E21+E26+E31+E36+E41+E46+E51</f>
        <v/>
      </c>
      <c r="F56" s="19">
        <f>F11+F16+F21+F26+F31+F36+F41+F46+F51</f>
        <v/>
      </c>
      <c r="G56" s="19">
        <f>G11+G16+G21+G26+G31+G36+G41+G46+G51</f>
        <v/>
      </c>
      <c r="H56" s="19">
        <f>H11+H16+H21+H26+H31+H36+H41+H46+H51</f>
        <v/>
      </c>
      <c r="I56" s="19">
        <f>I11+I16+I21+I26+I31+I36+I41+I46+I51</f>
        <v/>
      </c>
      <c r="J56" s="19">
        <f>J11+J16+J21+J26+J31+J36+J41+J46+J51</f>
        <v/>
      </c>
      <c r="K56" s="19">
        <f>K11+K16+K21+K26+K31+K36+K41+K46+K51</f>
        <v/>
      </c>
    </row>
    <row r="57" ht="12.75" customHeight="1" s="103">
      <c r="B57" s="15" t="inlineStr">
        <is>
          <t>HW GM%</t>
        </is>
      </c>
      <c r="D57" s="93">
        <f>'Scenario Control'!AE20</f>
        <v/>
      </c>
      <c r="E57" s="93">
        <f>'Scenario Control'!AF20</f>
        <v/>
      </c>
      <c r="F57" s="93">
        <f>'Scenario Control'!AG20</f>
        <v/>
      </c>
      <c r="G57" s="93">
        <f>'Scenario Control'!AH20</f>
        <v/>
      </c>
      <c r="H57" s="93">
        <f>'Scenario Control'!AI20</f>
        <v/>
      </c>
      <c r="I57" s="93">
        <f>'Scenario Control'!AJ20</f>
        <v/>
      </c>
      <c r="J57" s="93">
        <f>'Scenario Control'!AK20</f>
        <v/>
      </c>
      <c r="K57" s="93">
        <f>'Scenario Control'!AL20</f>
        <v/>
      </c>
    </row>
    <row r="58" ht="15" customHeight="1" s="103">
      <c r="D58" s="67" t="n"/>
      <c r="E58" s="67" t="n"/>
      <c r="F58" s="67" t="n"/>
      <c r="G58" s="67" t="n"/>
      <c r="H58" s="67" t="n"/>
      <c r="I58" s="67" t="n"/>
      <c r="J58" s="67" t="n"/>
      <c r="K58" s="67" t="n"/>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6.xml><?xml version="1.0" encoding="utf-8"?>
<worksheet xmlns="http://schemas.openxmlformats.org/spreadsheetml/2006/main">
  <sheetPr>
    <outlinePr summaryBelow="1" summaryRight="1"/>
    <pageSetUpPr/>
  </sheetPr>
  <dimension ref="B2:K20"/>
  <sheetViews>
    <sheetView showGridLines="0" workbookViewId="0">
      <pane xSplit="3" ySplit="5" topLeftCell="D6" activePane="bottomRight" state="frozen"/>
      <selection pane="topRight" activeCell="C1" sqref="C1"/>
      <selection pane="bottomLeft" activeCell="A5" sqref="A5"/>
      <selection pane="bottomRight" activeCell="A1" sqref="A1"/>
    </sheetView>
  </sheetViews>
  <sheetFormatPr baseColWidth="8" defaultColWidth="9.109375" defaultRowHeight="15" customHeight="1"/>
  <cols>
    <col width="5" customWidth="1" style="103" min="1" max="1"/>
    <col width="28.5546875" customWidth="1" style="103" min="2" max="2"/>
    <col width="25.6640625" customWidth="1" style="103" min="3" max="3"/>
    <col width="14.33203125" customWidth="1" style="103" min="4" max="11"/>
  </cols>
  <sheetData>
    <row r="2" ht="18" customHeight="1" s="103">
      <c r="B2" s="1" t="inlineStr">
        <is>
          <t>CONSUMABLES &amp; CPG</t>
        </is>
      </c>
    </row>
    <row r="3" ht="12.75" customHeight="1" s="103">
      <c r="B3" s="2" t="inlineStr">
        <is>
          <t>HW-tied + Standalone CPG. CPG leads while hardware ramps Y1.</t>
        </is>
      </c>
    </row>
    <row r="5" ht="13.5" customHeight="1" s="103">
      <c r="D5" s="14" t="inlineStr">
        <is>
          <t>2026</t>
        </is>
      </c>
      <c r="E5" s="14" t="inlineStr">
        <is>
          <t>2027</t>
        </is>
      </c>
      <c r="F5" s="14" t="inlineStr">
        <is>
          <t>2028</t>
        </is>
      </c>
      <c r="G5" s="14" t="inlineStr">
        <is>
          <t>2029</t>
        </is>
      </c>
      <c r="H5" s="14" t="inlineStr">
        <is>
          <t>2030</t>
        </is>
      </c>
      <c r="I5" s="14" t="inlineStr">
        <is>
          <t>2031</t>
        </is>
      </c>
      <c r="J5" s="14" t="inlineStr">
        <is>
          <t>2032</t>
        </is>
      </c>
      <c r="K5" s="14" t="inlineStr">
        <is>
          <t>2033</t>
        </is>
      </c>
    </row>
    <row r="6" ht="13.5" customHeight="1" s="103">
      <c r="B6" s="3" t="inlineStr">
        <is>
          <t>HW-TIED (50% GM)</t>
        </is>
      </c>
      <c r="C6" s="4" t="n"/>
      <c r="D6" s="4" t="n"/>
      <c r="E6" s="4" t="n"/>
      <c r="F6" s="4" t="n"/>
      <c r="G6" s="4" t="n"/>
      <c r="H6" s="4" t="n"/>
      <c r="I6" s="4" t="n"/>
      <c r="J6" s="4" t="n"/>
      <c r="K6" s="4" t="n"/>
    </row>
    <row r="7" ht="12.75" customHeight="1" s="103">
      <c r="B7" s="6" t="inlineStr">
        <is>
          <t>Base</t>
        </is>
      </c>
      <c r="D7" s="20">
        <f>Hardware!D55</f>
        <v/>
      </c>
      <c r="E7" s="20">
        <f>Hardware!E55</f>
        <v/>
      </c>
      <c r="F7" s="20">
        <f>Hardware!F55</f>
        <v/>
      </c>
      <c r="G7" s="20">
        <f>Hardware!G55</f>
        <v/>
      </c>
      <c r="H7" s="20">
        <f>Hardware!H55</f>
        <v/>
      </c>
      <c r="I7" s="20">
        <f>Hardware!I55</f>
        <v/>
      </c>
      <c r="J7" s="20">
        <f>Hardware!J55</f>
        <v/>
      </c>
      <c r="K7" s="20">
        <f>Hardware!K55</f>
        <v/>
      </c>
    </row>
    <row r="8" ht="12.75" customHeight="1" s="103">
      <c r="B8" s="6" t="inlineStr">
        <is>
          <t>$/user/yr</t>
        </is>
      </c>
      <c r="C8" s="15" t="inlineStr">
        <is>
          <t>Cricut ~$53. Max $45</t>
        </is>
      </c>
      <c r="D8" s="90">
        <f>'Scenario Control'!AE23</f>
        <v/>
      </c>
      <c r="E8" s="90">
        <f>'Scenario Control'!AF23</f>
        <v/>
      </c>
      <c r="F8" s="90">
        <f>'Scenario Control'!AG23</f>
        <v/>
      </c>
      <c r="G8" s="90">
        <f>'Scenario Control'!AH23</f>
        <v/>
      </c>
      <c r="H8" s="90">
        <f>'Scenario Control'!AI23</f>
        <v/>
      </c>
      <c r="I8" s="90">
        <f>'Scenario Control'!AJ23</f>
        <v/>
      </c>
      <c r="J8" s="90">
        <f>'Scenario Control'!AK23</f>
        <v/>
      </c>
      <c r="K8" s="90">
        <f>'Scenario Control'!AL23</f>
        <v/>
      </c>
    </row>
    <row r="9" ht="12.75" customHeight="1" s="103">
      <c r="B9" s="15" t="inlineStr">
        <is>
          <t>Active %</t>
        </is>
      </c>
      <c r="D9" s="93">
        <f>'Scenario Control'!AE24</f>
        <v/>
      </c>
      <c r="E9" s="93">
        <f>'Scenario Control'!AF24</f>
        <v/>
      </c>
      <c r="F9" s="93">
        <f>'Scenario Control'!AG24</f>
        <v/>
      </c>
      <c r="G9" s="93">
        <f>'Scenario Control'!AH24</f>
        <v/>
      </c>
      <c r="H9" s="93">
        <f>'Scenario Control'!AI24</f>
        <v/>
      </c>
      <c r="I9" s="93">
        <f>'Scenario Control'!AJ24</f>
        <v/>
      </c>
      <c r="J9" s="93">
        <f>'Scenario Control'!AK24</f>
        <v/>
      </c>
      <c r="K9" s="93">
        <f>'Scenario Control'!AL24</f>
        <v/>
      </c>
    </row>
    <row r="10" ht="13.5" customHeight="1" s="103">
      <c r="B10" s="16" t="inlineStr">
        <is>
          <t>HW Cons ($K)</t>
        </is>
      </c>
      <c r="D10" s="19">
        <f>D7*D8*D9/1000</f>
        <v/>
      </c>
      <c r="E10" s="19">
        <f>E7*E8*E9/1000</f>
        <v/>
      </c>
      <c r="F10" s="19">
        <f>F7*F8*F9/1000</f>
        <v/>
      </c>
      <c r="G10" s="19">
        <f>G7*G8*G9/1000</f>
        <v/>
      </c>
      <c r="H10" s="19">
        <f>H7*H8*H9/1000</f>
        <v/>
      </c>
      <c r="I10" s="19">
        <f>I7*I8*I9/1000</f>
        <v/>
      </c>
      <c r="J10" s="19">
        <f>J7*J8*J9/1000</f>
        <v/>
      </c>
      <c r="K10" s="19">
        <f>K7*K8*K9/1000</f>
        <v/>
      </c>
    </row>
    <row r="12" ht="13.5" customHeight="1" s="103">
      <c r="B12" s="3" t="inlineStr">
        <is>
          <t>CPG (55% GM, no HW needed)</t>
        </is>
      </c>
      <c r="C12" s="4" t="n"/>
      <c r="D12" s="4" t="n"/>
      <c r="E12" s="4" t="n"/>
      <c r="F12" s="4" t="n"/>
      <c r="G12" s="4" t="n"/>
      <c r="H12" s="4" t="n"/>
      <c r="I12" s="4" t="n"/>
      <c r="J12" s="4" t="n"/>
      <c r="K12" s="4" t="n"/>
    </row>
    <row r="13" ht="12.75" customHeight="1" s="103">
      <c r="B13" s="6" t="inlineStr">
        <is>
          <t>Inklish Kits</t>
        </is>
      </c>
      <c r="C13" s="15" t="inlineStr">
        <is>
          <t>Seasonal drops, cultural</t>
        </is>
      </c>
      <c r="D13" s="90">
        <f>'Scenario Control'!AE27</f>
        <v/>
      </c>
      <c r="E13" s="90">
        <f>'Scenario Control'!AF27</f>
        <v/>
      </c>
      <c r="F13" s="90">
        <f>'Scenario Control'!AG27</f>
        <v/>
      </c>
      <c r="G13" s="90">
        <f>'Scenario Control'!AH27</f>
        <v/>
      </c>
      <c r="H13" s="90">
        <f>'Scenario Control'!AI27</f>
        <v/>
      </c>
      <c r="I13" s="90">
        <f>'Scenario Control'!AJ27</f>
        <v/>
      </c>
      <c r="J13" s="90">
        <f>'Scenario Control'!AK27</f>
        <v/>
      </c>
      <c r="K13" s="90">
        <f>'Scenario Control'!AL27</f>
        <v/>
      </c>
    </row>
    <row r="14" ht="12.75" customHeight="1" s="103">
      <c r="B14" s="6" t="inlineStr">
        <is>
          <t>Pens/Polish</t>
        </is>
      </c>
      <c r="D14" s="90">
        <f>'Scenario Control'!AE28</f>
        <v/>
      </c>
      <c r="E14" s="90">
        <f>'Scenario Control'!AF28</f>
        <v/>
      </c>
      <c r="F14" s="90">
        <f>'Scenario Control'!AG28</f>
        <v/>
      </c>
      <c r="G14" s="90">
        <f>'Scenario Control'!AH28</f>
        <v/>
      </c>
      <c r="H14" s="90">
        <f>'Scenario Control'!AI28</f>
        <v/>
      </c>
      <c r="I14" s="90">
        <f>'Scenario Control'!AJ28</f>
        <v/>
      </c>
      <c r="J14" s="90">
        <f>'Scenario Control'!AK28</f>
        <v/>
      </c>
      <c r="K14" s="90">
        <f>'Scenario Control'!AL28</f>
        <v/>
      </c>
    </row>
    <row r="15" ht="12.75" customHeight="1" s="103">
      <c r="B15" s="6" t="inlineStr">
        <is>
          <t>Press-Ons</t>
        </is>
      </c>
      <c r="D15" s="90">
        <f>'Scenario Control'!AE29</f>
        <v/>
      </c>
      <c r="E15" s="90">
        <f>'Scenario Control'!AF29</f>
        <v/>
      </c>
      <c r="F15" s="90">
        <f>'Scenario Control'!AG29</f>
        <v/>
      </c>
      <c r="G15" s="90">
        <f>'Scenario Control'!AH29</f>
        <v/>
      </c>
      <c r="H15" s="90">
        <f>'Scenario Control'!AI29</f>
        <v/>
      </c>
      <c r="I15" s="90">
        <f>'Scenario Control'!AJ29</f>
        <v/>
      </c>
      <c r="J15" s="90">
        <f>'Scenario Control'!AK29</f>
        <v/>
      </c>
      <c r="K15" s="90">
        <f>'Scenario Control'!AL29</f>
        <v/>
      </c>
    </row>
    <row r="16" ht="12.75" customHeight="1" s="103">
      <c r="B16" s="6" t="inlineStr">
        <is>
          <t>Wipes/Tools</t>
        </is>
      </c>
      <c r="D16" s="90">
        <f>'Scenario Control'!AE30</f>
        <v/>
      </c>
      <c r="E16" s="90">
        <f>'Scenario Control'!AF30</f>
        <v/>
      </c>
      <c r="F16" s="90">
        <f>'Scenario Control'!AG30</f>
        <v/>
      </c>
      <c r="G16" s="90">
        <f>'Scenario Control'!AH30</f>
        <v/>
      </c>
      <c r="H16" s="90">
        <f>'Scenario Control'!AI30</f>
        <v/>
      </c>
      <c r="I16" s="90">
        <f>'Scenario Control'!AJ30</f>
        <v/>
      </c>
      <c r="J16" s="90">
        <f>'Scenario Control'!AK30</f>
        <v/>
      </c>
      <c r="K16" s="90">
        <f>'Scenario Control'!AL30</f>
        <v/>
      </c>
    </row>
    <row r="17" ht="12.75" customHeight="1" s="103">
      <c r="B17" s="6" t="inlineStr">
        <is>
          <t>Nail Polish</t>
        </is>
      </c>
      <c r="D17" s="90">
        <f>'Scenario Control'!AE31</f>
        <v/>
      </c>
      <c r="E17" s="90">
        <f>'Scenario Control'!AF31</f>
        <v/>
      </c>
      <c r="F17" s="90">
        <f>'Scenario Control'!AG31</f>
        <v/>
      </c>
      <c r="G17" s="90">
        <f>'Scenario Control'!AH31</f>
        <v/>
      </c>
      <c r="H17" s="90">
        <f>'Scenario Control'!AI31</f>
        <v/>
      </c>
      <c r="I17" s="90">
        <f>'Scenario Control'!AJ31</f>
        <v/>
      </c>
      <c r="J17" s="90">
        <f>'Scenario Control'!AK31</f>
        <v/>
      </c>
      <c r="K17" s="90">
        <f>'Scenario Control'!AL31</f>
        <v/>
      </c>
    </row>
    <row r="18" ht="13.5" customHeight="1" s="103">
      <c r="B18" s="16" t="inlineStr">
        <is>
          <t>Total CPG ($K)</t>
        </is>
      </c>
      <c r="D18" s="19">
        <f>SUM(D13:D17)</f>
        <v/>
      </c>
      <c r="E18" s="19">
        <f>SUM(E13:E17)</f>
        <v/>
      </c>
      <c r="F18" s="19">
        <f>SUM(F13:F17)</f>
        <v/>
      </c>
      <c r="G18" s="19">
        <f>SUM(G13:G17)</f>
        <v/>
      </c>
      <c r="H18" s="19">
        <f>SUM(H13:H17)</f>
        <v/>
      </c>
      <c r="I18" s="19">
        <f>SUM(I13:I17)</f>
        <v/>
      </c>
      <c r="J18" s="19">
        <f>SUM(J13:J17)</f>
        <v/>
      </c>
      <c r="K18" s="19">
        <f>SUM(K13:K17)</f>
        <v/>
      </c>
    </row>
    <row r="20" ht="13.5" customHeight="1" s="103">
      <c r="B20" s="16" t="inlineStr">
        <is>
          <t>ALL CONS+CPG ($K)</t>
        </is>
      </c>
      <c r="D20" s="19">
        <f>D10+D18</f>
        <v/>
      </c>
      <c r="E20" s="19">
        <f>E10+E18</f>
        <v/>
      </c>
      <c r="F20" s="19">
        <f>F10+F18</f>
        <v/>
      </c>
      <c r="G20" s="19">
        <f>G10+G18</f>
        <v/>
      </c>
      <c r="H20" s="19">
        <f>H10+H18</f>
        <v/>
      </c>
      <c r="I20" s="19">
        <f>I10+I18</f>
        <v/>
      </c>
      <c r="J20" s="19">
        <f>J10+J18</f>
        <v/>
      </c>
      <c r="K20" s="19">
        <f>K10+K18</f>
        <v/>
      </c>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B2:K31"/>
  <sheetViews>
    <sheetView showGridLines="0" workbookViewId="0">
      <pane xSplit="3" ySplit="5" topLeftCell="D6" activePane="bottomRight" state="frozen"/>
      <selection pane="topRight" activeCell="C1" sqref="C1"/>
      <selection pane="bottomLeft" activeCell="A5" sqref="A5"/>
      <selection pane="bottomRight" activeCell="A1" sqref="A1"/>
    </sheetView>
  </sheetViews>
  <sheetFormatPr baseColWidth="8" defaultColWidth="9.109375" defaultRowHeight="15" customHeight="1"/>
  <cols>
    <col width="5" customWidth="1" style="103" min="1" max="1"/>
    <col width="28.5546875" customWidth="1" style="103" min="2" max="2"/>
    <col width="25.6640625" customWidth="1" style="103" min="3" max="3"/>
    <col width="14.33203125" customWidth="1" style="103" min="4" max="11"/>
  </cols>
  <sheetData>
    <row r="2" ht="18" customHeight="1" s="103">
      <c r="B2" s="1" t="inlineStr">
        <is>
          <t>DIGITAL + ART INFRASTRUCTURE LICENSING</t>
        </is>
      </c>
    </row>
    <row r="3" ht="12.75" customHeight="1" s="103">
      <c r="B3" s="2" t="inlineStr">
        <is>
          <t>Creator Space + PayPacks + Licensed Content + Patent Licensing (2029+)</t>
        </is>
      </c>
    </row>
    <row r="5" ht="13.5" customHeight="1" s="103">
      <c r="D5" s="14" t="inlineStr">
        <is>
          <t>2026</t>
        </is>
      </c>
      <c r="E5" s="14" t="inlineStr">
        <is>
          <t>2027</t>
        </is>
      </c>
      <c r="F5" s="14" t="inlineStr">
        <is>
          <t>2028</t>
        </is>
      </c>
      <c r="G5" s="14" t="inlineStr">
        <is>
          <t>2029</t>
        </is>
      </c>
      <c r="H5" s="14" t="inlineStr">
        <is>
          <t>2030</t>
        </is>
      </c>
      <c r="I5" s="14" t="inlineStr">
        <is>
          <t>2031</t>
        </is>
      </c>
      <c r="J5" s="14" t="inlineStr">
        <is>
          <t>2032</t>
        </is>
      </c>
      <c r="K5" s="14" t="inlineStr">
        <is>
          <t>2033</t>
        </is>
      </c>
    </row>
    <row r="6" ht="13.5" customHeight="1" s="103">
      <c r="B6" s="3" t="inlineStr">
        <is>
          <t>CREATOR SPACE USERS</t>
        </is>
      </c>
      <c r="C6" s="4" t="n"/>
      <c r="D6" s="4" t="n"/>
      <c r="E6" s="4" t="n"/>
      <c r="F6" s="4" t="n"/>
      <c r="G6" s="4" t="n"/>
      <c r="H6" s="4" t="n"/>
      <c r="I6" s="4" t="n"/>
      <c r="J6" s="4" t="n"/>
      <c r="K6" s="4" t="n"/>
    </row>
    <row r="7" ht="12.75" customHeight="1" s="103">
      <c r="B7" s="6" t="inlineStr">
        <is>
          <t>Free</t>
        </is>
      </c>
      <c r="D7" s="90">
        <f>'Scenario Control'!AE34</f>
        <v/>
      </c>
      <c r="E7" s="90">
        <f>'Scenario Control'!AF34</f>
        <v/>
      </c>
      <c r="F7" s="90">
        <f>'Scenario Control'!AG34</f>
        <v/>
      </c>
      <c r="G7" s="90">
        <f>'Scenario Control'!AH34</f>
        <v/>
      </c>
      <c r="H7" s="90">
        <f>'Scenario Control'!AI34</f>
        <v/>
      </c>
      <c r="I7" s="90">
        <f>'Scenario Control'!AJ34</f>
        <v/>
      </c>
      <c r="J7" s="90">
        <f>'Scenario Control'!AK34</f>
        <v/>
      </c>
      <c r="K7" s="90">
        <f>'Scenario Control'!AL34</f>
        <v/>
      </c>
    </row>
    <row r="8" ht="12.75" customHeight="1" s="103">
      <c r="B8" s="6" t="inlineStr">
        <is>
          <t>Premium $9.99/mo</t>
        </is>
      </c>
      <c r="D8" s="90">
        <f>'Scenario Control'!AE35</f>
        <v/>
      </c>
      <c r="E8" s="90">
        <f>'Scenario Control'!AF35</f>
        <v/>
      </c>
      <c r="F8" s="90">
        <f>'Scenario Control'!AG35</f>
        <v/>
      </c>
      <c r="G8" s="90">
        <f>'Scenario Control'!AH35</f>
        <v/>
      </c>
      <c r="H8" s="90">
        <f>'Scenario Control'!AI35</f>
        <v/>
      </c>
      <c r="I8" s="90">
        <f>'Scenario Control'!AJ35</f>
        <v/>
      </c>
      <c r="J8" s="90">
        <f>'Scenario Control'!AK35</f>
        <v/>
      </c>
      <c r="K8" s="90">
        <f>'Scenario Control'!AL35</f>
        <v/>
      </c>
    </row>
    <row r="9" ht="12.75" customHeight="1" s="103">
      <c r="B9" s="6" t="inlineStr">
        <is>
          <t>Family $19.99/mo</t>
        </is>
      </c>
      <c r="D9" s="90">
        <f>'Scenario Control'!AE36</f>
        <v/>
      </c>
      <c r="E9" s="90">
        <f>'Scenario Control'!AF36</f>
        <v/>
      </c>
      <c r="F9" s="90">
        <f>'Scenario Control'!AG36</f>
        <v/>
      </c>
      <c r="G9" s="90">
        <f>'Scenario Control'!AH36</f>
        <v/>
      </c>
      <c r="H9" s="90">
        <f>'Scenario Control'!AI36</f>
        <v/>
      </c>
      <c r="I9" s="90">
        <f>'Scenario Control'!AJ36</f>
        <v/>
      </c>
      <c r="J9" s="90">
        <f>'Scenario Control'!AK36</f>
        <v/>
      </c>
      <c r="K9" s="90">
        <f>'Scenario Control'!AL36</f>
        <v/>
      </c>
    </row>
    <row r="10" ht="13.5" customHeight="1" s="103">
      <c r="B10" s="16" t="inlineStr">
        <is>
          <t>Paid</t>
        </is>
      </c>
      <c r="D10" s="17">
        <f>D8+D9</f>
        <v/>
      </c>
      <c r="E10" s="17">
        <f>E8+E9</f>
        <v/>
      </c>
      <c r="F10" s="17">
        <f>F8+F9</f>
        <v/>
      </c>
      <c r="G10" s="17">
        <f>G8+G9</f>
        <v/>
      </c>
      <c r="H10" s="17">
        <f>H8+H9</f>
        <v/>
      </c>
      <c r="I10" s="17">
        <f>I8+I9</f>
        <v/>
      </c>
      <c r="J10" s="17">
        <f>J8+J9</f>
        <v/>
      </c>
      <c r="K10" s="17">
        <f>K8+K9</f>
        <v/>
      </c>
    </row>
    <row r="11" ht="12.75" customHeight="1" s="103">
      <c r="B11" s="15" t="inlineStr">
        <is>
          <t>Paid Conv %</t>
        </is>
      </c>
      <c r="D11" s="21">
        <f>D10/(D7+D10)</f>
        <v/>
      </c>
      <c r="E11" s="21">
        <f>E10/(E7+E10)</f>
        <v/>
      </c>
      <c r="F11" s="21">
        <f>F10/(F7+F10)</f>
        <v/>
      </c>
      <c r="G11" s="21">
        <f>G10/(G7+G10)</f>
        <v/>
      </c>
      <c r="H11" s="21">
        <f>H10/(H7+H10)</f>
        <v/>
      </c>
      <c r="I11" s="21">
        <f>I10/(I7+I10)</f>
        <v/>
      </c>
      <c r="J11" s="21">
        <f>J10/(J7+J10)</f>
        <v/>
      </c>
      <c r="K11" s="21">
        <f>K10/(K7+K10)</f>
        <v/>
      </c>
    </row>
    <row r="13" ht="13.5" customHeight="1" s="103">
      <c r="B13" s="3" t="inlineStr">
        <is>
          <t>SUBSCRIPTIONS (90% GM)</t>
        </is>
      </c>
      <c r="C13" s="4" t="n"/>
      <c r="D13" s="4" t="n"/>
      <c r="E13" s="4" t="n"/>
      <c r="F13" s="4" t="n"/>
      <c r="G13" s="4" t="n"/>
      <c r="H13" s="4" t="n"/>
      <c r="I13" s="4" t="n"/>
      <c r="J13" s="4" t="n"/>
      <c r="K13" s="4" t="n"/>
    </row>
    <row r="14" ht="13.5" customHeight="1" s="103">
      <c r="B14" s="16" t="inlineStr">
        <is>
          <t>Sub Rev ($K)</t>
        </is>
      </c>
      <c r="D14" s="94">
        <f>('Scenario Control'!AE35*9.99*12*'Scenario Control'!AE37+'Scenario Control'!AE36*19.99*12*'Scenario Control'!AE37)/1000</f>
        <v/>
      </c>
      <c r="E14" s="94">
        <f>('Scenario Control'!AF35*9.99*12*'Scenario Control'!AF37+'Scenario Control'!AF36*19.99*12*'Scenario Control'!AF37)/1000</f>
        <v/>
      </c>
      <c r="F14" s="94">
        <f>('Scenario Control'!AG35*9.99*12*'Scenario Control'!AG37+'Scenario Control'!AG36*19.99*12*'Scenario Control'!AG37)/1000</f>
        <v/>
      </c>
      <c r="G14" s="94">
        <f>('Scenario Control'!AH35*9.99*12*'Scenario Control'!AH37+'Scenario Control'!AH36*19.99*12*'Scenario Control'!AH37)/1000</f>
        <v/>
      </c>
      <c r="H14" s="94">
        <f>('Scenario Control'!AI35*9.99*12*'Scenario Control'!AI37+'Scenario Control'!AI36*19.99*12*'Scenario Control'!AI37)/1000</f>
        <v/>
      </c>
      <c r="I14" s="94">
        <f>('Scenario Control'!AJ35*9.99*12*'Scenario Control'!AJ37+'Scenario Control'!AJ36*19.99*12*'Scenario Control'!AJ37)/1000</f>
        <v/>
      </c>
      <c r="J14" s="94">
        <f>('Scenario Control'!AK35*9.99*12*'Scenario Control'!AK37+'Scenario Control'!AK36*19.99*12*'Scenario Control'!AK37)/1000</f>
        <v/>
      </c>
      <c r="K14" s="94">
        <f>('Scenario Control'!AL35*9.99*12*'Scenario Control'!AL37+'Scenario Control'!AL36*19.99*12*'Scenario Control'!AL37)/1000</f>
        <v/>
      </c>
    </row>
    <row r="16" ht="13.5" customHeight="1" s="103">
      <c r="B16" s="3" t="inlineStr">
        <is>
          <t>PAYPACKS + CREDITS (85% GM)</t>
        </is>
      </c>
      <c r="C16" s="4" t="n"/>
      <c r="D16" s="4" t="n"/>
      <c r="E16" s="4" t="n"/>
      <c r="F16" s="4" t="n"/>
      <c r="G16" s="4" t="n"/>
      <c r="H16" s="4" t="n"/>
      <c r="I16" s="4" t="n"/>
      <c r="J16" s="4" t="n"/>
      <c r="K16" s="4" t="n"/>
    </row>
    <row r="17" ht="13.5" customHeight="1" s="103">
      <c r="B17" s="16" t="inlineStr">
        <is>
          <t>PP+CC ($K)</t>
        </is>
      </c>
      <c r="D17" s="94">
        <f>'Scenario Control'!AE40</f>
        <v/>
      </c>
      <c r="E17" s="94">
        <f>'Scenario Control'!AF40</f>
        <v/>
      </c>
      <c r="F17" s="94">
        <f>'Scenario Control'!AG40</f>
        <v/>
      </c>
      <c r="G17" s="94">
        <f>'Scenario Control'!AH40</f>
        <v/>
      </c>
      <c r="H17" s="94">
        <f>'Scenario Control'!AI40</f>
        <v/>
      </c>
      <c r="I17" s="94">
        <f>'Scenario Control'!AJ40</f>
        <v/>
      </c>
      <c r="J17" s="94">
        <f>'Scenario Control'!AK40</f>
        <v/>
      </c>
      <c r="K17" s="94">
        <f>'Scenario Control'!AL40</f>
        <v/>
      </c>
    </row>
    <row r="19" ht="13.5" customHeight="1" s="103">
      <c r="B19" s="3" t="inlineStr">
        <is>
          <t>LICENSED CONTENT + ACTIVATIONS (48% GM)</t>
        </is>
      </c>
      <c r="C19" s="4" t="n"/>
      <c r="D19" s="4" t="n"/>
      <c r="E19" s="4" t="n"/>
      <c r="F19" s="4" t="n"/>
      <c r="G19" s="4" t="n"/>
      <c r="H19" s="4" t="n"/>
      <c r="I19" s="4" t="n"/>
      <c r="J19" s="4" t="n"/>
      <c r="K19" s="4" t="n"/>
    </row>
    <row r="20" ht="12.75" customHeight="1" s="103">
      <c r="B20" s="6" t="inlineStr">
        <is>
          <t>Licensed Content</t>
        </is>
      </c>
      <c r="C20" s="15" t="inlineStr">
        <is>
          <t>Entertainment partners, rev share</t>
        </is>
      </c>
      <c r="D20" s="90">
        <f>'Scenario Control'!AE41</f>
        <v/>
      </c>
      <c r="E20" s="90">
        <f>'Scenario Control'!AF41</f>
        <v/>
      </c>
      <c r="F20" s="90">
        <f>'Scenario Control'!AG41</f>
        <v/>
      </c>
      <c r="G20" s="90">
        <f>'Scenario Control'!AH41</f>
        <v/>
      </c>
      <c r="H20" s="90">
        <f>'Scenario Control'!AI41</f>
        <v/>
      </c>
      <c r="I20" s="90">
        <f>'Scenario Control'!AJ41</f>
        <v/>
      </c>
      <c r="J20" s="90">
        <f>'Scenario Control'!AK41</f>
        <v/>
      </c>
      <c r="K20" s="90">
        <f>'Scenario Control'!AL41</f>
        <v/>
      </c>
    </row>
    <row r="21" ht="12.75" customHeight="1" s="103">
      <c r="B21" s="6" t="inlineStr">
        <is>
          <t>Brand Activations</t>
        </is>
      </c>
      <c r="C21" s="15" t="inlineStr">
        <is>
          <t>Events, white-label, data</t>
        </is>
      </c>
      <c r="D21" s="90">
        <f>'Scenario Control'!AE42</f>
        <v/>
      </c>
      <c r="E21" s="90">
        <f>'Scenario Control'!AF42</f>
        <v/>
      </c>
      <c r="F21" s="90">
        <f>'Scenario Control'!AG42</f>
        <v/>
      </c>
      <c r="G21" s="90">
        <f>'Scenario Control'!AH42</f>
        <v/>
      </c>
      <c r="H21" s="90">
        <f>'Scenario Control'!AI42</f>
        <v/>
      </c>
      <c r="I21" s="90">
        <f>'Scenario Control'!AJ42</f>
        <v/>
      </c>
      <c r="J21" s="90">
        <f>'Scenario Control'!AK42</f>
        <v/>
      </c>
      <c r="K21" s="90">
        <f>'Scenario Control'!AL42</f>
        <v/>
      </c>
    </row>
    <row r="22" ht="13.5" customHeight="1" s="103">
      <c r="B22" s="16" t="inlineStr">
        <is>
          <t>Total Lic+Act ($K)</t>
        </is>
      </c>
      <c r="D22" s="19">
        <f>D20+D21</f>
        <v/>
      </c>
      <c r="E22" s="19">
        <f>E20+E21</f>
        <v/>
      </c>
      <c r="F22" s="19">
        <f>F20+F21</f>
        <v/>
      </c>
      <c r="G22" s="19">
        <f>G20+G21</f>
        <v/>
      </c>
      <c r="H22" s="19">
        <f>H20+H21</f>
        <v/>
      </c>
      <c r="I22" s="19">
        <f>I20+I21</f>
        <v/>
      </c>
      <c r="J22" s="19">
        <f>J20+J21</f>
        <v/>
      </c>
      <c r="K22" s="19">
        <f>K20+K21</f>
        <v/>
      </c>
    </row>
    <row r="24" ht="13.5" customHeight="1" s="103">
      <c r="B24" s="3" t="inlineStr">
        <is>
          <t>⭐ ART INFRASTRUCTURE PATENT LICENSING (95% GM) — Upside Optionality</t>
        </is>
      </c>
      <c r="C24" s="4" t="n"/>
      <c r="D24" s="4" t="n"/>
      <c r="E24" s="4" t="n"/>
      <c r="F24" s="4" t="n"/>
      <c r="G24" s="4" t="n"/>
      <c r="H24" s="4" t="n"/>
      <c r="I24" s="4" t="n"/>
      <c r="J24" s="4" t="n"/>
      <c r="K24" s="4" t="n"/>
    </row>
    <row r="25" ht="12.75" customHeight="1" s="103">
      <c r="B25" s="6" t="inlineStr">
        <is>
          <t>Patent License Rev ($K)</t>
        </is>
      </c>
      <c r="C25" s="15" t="inlineStr">
        <is>
          <t>Smart beauty cos license our art layer</t>
        </is>
      </c>
      <c r="D25" s="90">
        <f>'Scenario Control'!AE43</f>
        <v/>
      </c>
      <c r="E25" s="90">
        <f>'Scenario Control'!AF43</f>
        <v/>
      </c>
      <c r="F25" s="90">
        <f>'Scenario Control'!AG43</f>
        <v/>
      </c>
      <c r="G25" s="90">
        <f>'Scenario Control'!AH43</f>
        <v/>
      </c>
      <c r="H25" s="90">
        <f>'Scenario Control'!AI43</f>
        <v/>
      </c>
      <c r="I25" s="90">
        <f>'Scenario Control'!AJ43</f>
        <v/>
      </c>
      <c r="J25" s="90">
        <f>'Scenario Control'!AK43</f>
        <v/>
      </c>
      <c r="K25" s="90">
        <f>'Scenario Control'!AL43</f>
        <v/>
      </c>
    </row>
    <row r="26" ht="11.25" customHeight="1" s="103">
      <c r="B26" s="22" t="inlineStr">
        <is>
          <t xml:space="preserve">  Covers: multi-substrate art printing, UV-reveal, temp-reactive, substrate-responsive</t>
        </is>
      </c>
    </row>
    <row r="27" ht="11.25" customHeight="1" s="103">
      <c r="B27" s="22" t="inlineStr">
        <is>
          <t xml:space="preserve">  10 utility patents today + Art Infrastructure provisional filing</t>
        </is>
      </c>
    </row>
    <row r="28" ht="11.25" customHeight="1" s="103">
      <c r="B28" s="22" t="inlineStr">
        <is>
          <t xml:space="preserve">  As smart beauty category emerges, every entrant needs this IP. 20-year defensibility.</t>
        </is>
      </c>
    </row>
    <row r="30" ht="13.5" customHeight="1" s="103">
      <c r="B30" s="16" t="inlineStr">
        <is>
          <t>TOTAL DIGITAL + IP ($K)</t>
        </is>
      </c>
      <c r="D30" s="19">
        <f>D14+D17+D22+D25</f>
        <v/>
      </c>
      <c r="E30" s="19">
        <f>E14+E17+E22+E25</f>
        <v/>
      </c>
      <c r="F30" s="19">
        <f>F14+F17+F22+F25</f>
        <v/>
      </c>
      <c r="G30" s="19">
        <f>G14+G17+G22+G25</f>
        <v/>
      </c>
      <c r="H30" s="19">
        <f>H14+H17+H22+H25</f>
        <v/>
      </c>
      <c r="I30" s="19">
        <f>I14+I17+I22+I25</f>
        <v/>
      </c>
      <c r="J30" s="19">
        <f>J14+J17+J22+J25</f>
        <v/>
      </c>
      <c r="K30" s="19">
        <f>K14+K17+K22+K25</f>
        <v/>
      </c>
    </row>
    <row r="31" ht="12.75" customHeight="1" s="103">
      <c r="B31" s="15" t="inlineStr">
        <is>
          <t>Blended Digital GM</t>
        </is>
      </c>
      <c r="D31" s="21">
        <f>IF(D30=0,0,(0.9*D14+0.85*D17+0.48*D22+0.95*D25)/D30)</f>
        <v/>
      </c>
      <c r="E31" s="21">
        <f>IF(E30=0,0,(0.9*E14+0.85*E17+0.48*E22+0.95*E25)/E30)</f>
        <v/>
      </c>
      <c r="F31" s="21">
        <f>IF(F30=0,0,(0.9*F14+0.85*F17+0.48*F22+0.95*F25)/F30)</f>
        <v/>
      </c>
      <c r="G31" s="21">
        <f>IF(G30=0,0,(0.9*G14+0.85*G17+0.48*G22+0.95*G25)/G30)</f>
        <v/>
      </c>
      <c r="H31" s="21">
        <f>IF(H30=0,0,(0.9*H14+0.85*H17+0.48*H22+0.95*H25)/H30)</f>
        <v/>
      </c>
      <c r="I31" s="21">
        <f>IF(I30=0,0,(0.9*I14+0.85*I17+0.48*I22+0.95*I25)/I30)</f>
        <v/>
      </c>
      <c r="J31" s="21">
        <f>IF(J30=0,0,(0.9*J14+0.85*J17+0.48*J22+0.95*J25)/J30)</f>
        <v/>
      </c>
      <c r="K31" s="21">
        <f>IF(K30=0,0,(0.9*K14+0.85*K17+0.48*K22+0.95*K25)/K30)</f>
        <v/>
      </c>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B2:T51"/>
  <sheetViews>
    <sheetView showGridLines="0" workbookViewId="0">
      <pane xSplit="3" ySplit="5" topLeftCell="D6" activePane="bottomRight" state="frozen"/>
      <selection pane="topRight" activeCell="C1" sqref="C1"/>
      <selection pane="bottomLeft" activeCell="A5" sqref="A5"/>
      <selection pane="bottomRight" activeCell="A1" sqref="A1"/>
    </sheetView>
  </sheetViews>
  <sheetFormatPr baseColWidth="8" defaultColWidth="9.109375" defaultRowHeight="15" customHeight="1"/>
  <cols>
    <col width="5" customWidth="1" style="103" min="1" max="1"/>
    <col width="28.5546875" customWidth="1" style="103" min="2" max="2"/>
    <col width="25.6640625" customWidth="1" style="103" min="3" max="3"/>
    <col width="14.33203125" customWidth="1" style="103" min="4" max="11"/>
    <col width="9.88671875" bestFit="1" customWidth="1" style="103" min="19" max="19"/>
  </cols>
  <sheetData>
    <row r="2" ht="18" customHeight="1" s="103">
      <c r="B2" s="1" t="inlineStr">
        <is>
          <t>PREEMADONNA — 8-YEAR P&amp;L</t>
        </is>
      </c>
    </row>
    <row r="3" ht="12.75" customHeight="1" s="103">
      <c r="B3" s="2" t="inlineStr">
        <is>
          <t>Conservative Y1 = 125-unit Community Drop + standalone CPG. Volume ramp in Y2 (2.0 Scale, $3M–$9M run-rate). $600M+ in Y8. Margins from deck. Toggle scenarios in Scenario Control C3.</t>
        </is>
      </c>
    </row>
    <row r="5" ht="13.5" customHeight="1" s="103">
      <c r="B5" s="15" t="inlineStr">
        <is>
          <t>($000s)</t>
        </is>
      </c>
      <c r="D5" s="14" t="inlineStr">
        <is>
          <t>2026</t>
        </is>
      </c>
      <c r="E5" s="14" t="inlineStr">
        <is>
          <t>2027</t>
        </is>
      </c>
      <c r="F5" s="14" t="inlineStr">
        <is>
          <t>2028</t>
        </is>
      </c>
      <c r="G5" s="14" t="inlineStr">
        <is>
          <t>2029</t>
        </is>
      </c>
      <c r="H5" s="14" t="inlineStr">
        <is>
          <t>2030</t>
        </is>
      </c>
      <c r="I5" s="14" t="inlineStr">
        <is>
          <t>2031</t>
        </is>
      </c>
      <c r="J5" s="14" t="inlineStr">
        <is>
          <t>2032</t>
        </is>
      </c>
      <c r="K5" s="14" t="inlineStr">
        <is>
          <t>2033</t>
        </is>
      </c>
    </row>
    <row r="6" ht="13.5" customHeight="1" s="103">
      <c r="B6" s="3" t="inlineStr">
        <is>
          <t>REVENUE</t>
        </is>
      </c>
      <c r="C6" s="4" t="n"/>
      <c r="D6" s="4" t="n"/>
      <c r="E6" s="4" t="n"/>
      <c r="F6" s="4" t="n"/>
      <c r="G6" s="4" t="n"/>
      <c r="H6" s="4" t="n"/>
      <c r="I6" s="4" t="n"/>
      <c r="J6" s="4" t="n"/>
      <c r="K6" s="4" t="n"/>
      <c r="L6" s="101" t="n"/>
      <c r="M6" s="101" t="n"/>
      <c r="N6" s="101" t="n"/>
      <c r="O6" s="101" t="n"/>
      <c r="P6" s="101" t="n"/>
      <c r="Q6" s="101" t="n"/>
      <c r="R6" s="101" t="n"/>
      <c r="S6" s="101" t="n"/>
    </row>
    <row r="7" ht="12.75" customHeight="1" s="103">
      <c r="B7" s="6" t="inlineStr">
        <is>
          <t>Hardware</t>
        </is>
      </c>
      <c r="C7" s="15" t="inlineStr">
        <is>
          <t>57-19%</t>
        </is>
      </c>
      <c r="D7" s="23">
        <f>Hardware!D56</f>
        <v/>
      </c>
      <c r="E7" s="23">
        <f>Hardware!E56</f>
        <v/>
      </c>
      <c r="F7" s="23">
        <f>Hardware!F56</f>
        <v/>
      </c>
      <c r="G7" s="23">
        <f>Hardware!G56</f>
        <v/>
      </c>
      <c r="H7" s="23">
        <f>Hardware!H56</f>
        <v/>
      </c>
      <c r="I7" s="23">
        <f>Hardware!I56</f>
        <v/>
      </c>
      <c r="J7" s="23">
        <f>Hardware!J56</f>
        <v/>
      </c>
      <c r="K7" s="23">
        <f>Hardware!K56</f>
        <v/>
      </c>
      <c r="L7" s="99" t="n"/>
      <c r="M7" s="99" t="n"/>
      <c r="N7" s="99" t="n"/>
      <c r="O7" s="99" t="n"/>
      <c r="P7" s="99" t="n"/>
      <c r="Q7" s="99" t="n"/>
      <c r="R7" s="99" t="n"/>
      <c r="S7" s="99" t="n"/>
      <c r="T7" s="99" t="n"/>
    </row>
    <row r="8" ht="12.75" customHeight="1" s="103">
      <c r="B8" s="6" t="inlineStr">
        <is>
          <t>HW Consumables</t>
        </is>
      </c>
      <c r="C8" s="15" t="inlineStr">
        <is>
          <t>0.6-26%</t>
        </is>
      </c>
      <c r="D8" s="23">
        <f>'Consumables &amp; CPG'!D10</f>
        <v/>
      </c>
      <c r="E8" s="23">
        <f>'Consumables &amp; CPG'!E10</f>
        <v/>
      </c>
      <c r="F8" s="23">
        <f>'Consumables &amp; CPG'!F10</f>
        <v/>
      </c>
      <c r="G8" s="23">
        <f>'Consumables &amp; CPG'!G10</f>
        <v/>
      </c>
      <c r="H8" s="23">
        <f>'Consumables &amp; CPG'!H10</f>
        <v/>
      </c>
      <c r="I8" s="23">
        <f>'Consumables &amp; CPG'!I10</f>
        <v/>
      </c>
      <c r="J8" s="23">
        <f>'Consumables &amp; CPG'!J10</f>
        <v/>
      </c>
      <c r="K8" s="23">
        <f>'Consumables &amp; CPG'!K10</f>
        <v/>
      </c>
      <c r="L8" s="99" t="n"/>
      <c r="M8" s="99" t="n"/>
      <c r="N8" s="99" t="n"/>
      <c r="O8" s="99" t="n"/>
      <c r="P8" s="99" t="n"/>
      <c r="Q8" s="99" t="n"/>
      <c r="R8" s="99" t="n"/>
      <c r="S8" s="99" t="n"/>
    </row>
    <row r="9" ht="12.75" customHeight="1" s="103">
      <c r="B9" s="6" t="inlineStr">
        <is>
          <t>Standalone CPG</t>
        </is>
      </c>
      <c r="C9" s="15" t="inlineStr">
        <is>
          <t>37-15%</t>
        </is>
      </c>
      <c r="D9" s="23">
        <f>'Consumables &amp; CPG'!D18</f>
        <v/>
      </c>
      <c r="E9" s="23">
        <f>'Consumables &amp; CPG'!E18</f>
        <v/>
      </c>
      <c r="F9" s="23">
        <f>'Consumables &amp; CPG'!F18</f>
        <v/>
      </c>
      <c r="G9" s="23">
        <f>'Consumables &amp; CPG'!G18</f>
        <v/>
      </c>
      <c r="H9" s="23">
        <f>'Consumables &amp; CPG'!H18</f>
        <v/>
      </c>
      <c r="I9" s="23">
        <f>'Consumables &amp; CPG'!I18</f>
        <v/>
      </c>
      <c r="J9" s="23">
        <f>'Consumables &amp; CPG'!J18</f>
        <v/>
      </c>
      <c r="K9" s="23">
        <f>'Consumables &amp; CPG'!K18</f>
        <v/>
      </c>
      <c r="L9" s="99" t="n"/>
      <c r="M9" s="99" t="n"/>
      <c r="N9" s="99" t="n"/>
      <c r="O9" s="99" t="n"/>
      <c r="P9" s="99" t="n"/>
      <c r="Q9" s="99" t="n"/>
      <c r="R9" s="99" t="n"/>
      <c r="S9" s="99" t="n"/>
    </row>
    <row r="10" ht="12.75" customHeight="1" s="103">
      <c r="B10" s="6" t="inlineStr">
        <is>
          <t>Subs+PP+CC</t>
        </is>
      </c>
      <c r="C10" s="15" t="inlineStr">
        <is>
          <t>4-32%</t>
        </is>
      </c>
      <c r="D10" s="23">
        <f>'Digital &amp; IP Licensing'!D14+'Digital &amp; IP Licensing'!D17</f>
        <v/>
      </c>
      <c r="E10" s="23">
        <f>'Digital &amp; IP Licensing'!E14+'Digital &amp; IP Licensing'!E17</f>
        <v/>
      </c>
      <c r="F10" s="23">
        <f>'Digital &amp; IP Licensing'!F14+'Digital &amp; IP Licensing'!F17</f>
        <v/>
      </c>
      <c r="G10" s="23">
        <f>'Digital &amp; IP Licensing'!G14+'Digital &amp; IP Licensing'!G17</f>
        <v/>
      </c>
      <c r="H10" s="23">
        <f>'Digital &amp; IP Licensing'!H14+'Digital &amp; IP Licensing'!H17</f>
        <v/>
      </c>
      <c r="I10" s="23">
        <f>'Digital &amp; IP Licensing'!I14+'Digital &amp; IP Licensing'!I17</f>
        <v/>
      </c>
      <c r="J10" s="23">
        <f>'Digital &amp; IP Licensing'!J14+'Digital &amp; IP Licensing'!J17</f>
        <v/>
      </c>
      <c r="K10" s="23">
        <f>'Digital &amp; IP Licensing'!K14+'Digital &amp; IP Licensing'!K17</f>
        <v/>
      </c>
      <c r="L10" s="99" t="n"/>
      <c r="M10" s="99" t="n"/>
      <c r="N10" s="99" t="n"/>
      <c r="O10" s="99" t="n"/>
      <c r="P10" s="99" t="n"/>
      <c r="Q10" s="99" t="n"/>
      <c r="R10" s="99" t="n"/>
      <c r="S10" s="99" t="n"/>
    </row>
    <row r="11" ht="12.75" customHeight="1" s="103">
      <c r="B11" s="6" t="inlineStr">
        <is>
          <t>Licensed+Activations</t>
        </is>
      </c>
      <c r="C11" s="15" t="inlineStr">
        <is>
          <t>2-5%</t>
        </is>
      </c>
      <c r="D11" s="23">
        <f>'Digital &amp; IP Licensing'!D22</f>
        <v/>
      </c>
      <c r="E11" s="23">
        <f>'Digital &amp; IP Licensing'!E22</f>
        <v/>
      </c>
      <c r="F11" s="23">
        <f>'Digital &amp; IP Licensing'!F22</f>
        <v/>
      </c>
      <c r="G11" s="23">
        <f>'Digital &amp; IP Licensing'!G22</f>
        <v/>
      </c>
      <c r="H11" s="23">
        <f>'Digital &amp; IP Licensing'!H22</f>
        <v/>
      </c>
      <c r="I11" s="23">
        <f>'Digital &amp; IP Licensing'!I22</f>
        <v/>
      </c>
      <c r="J11" s="23">
        <f>'Digital &amp; IP Licensing'!J22</f>
        <v/>
      </c>
      <c r="K11" s="23">
        <f>'Digital &amp; IP Licensing'!K22</f>
        <v/>
      </c>
      <c r="L11" s="99" t="n"/>
      <c r="M11" s="99" t="n"/>
      <c r="N11" s="99" t="n"/>
      <c r="O11" s="99" t="n"/>
      <c r="P11" s="99" t="n"/>
      <c r="Q11" s="99" t="n"/>
      <c r="R11" s="99" t="n"/>
      <c r="S11" s="99" t="n"/>
    </row>
    <row r="12" ht="12.75" customHeight="1" s="103">
      <c r="B12" s="6" t="inlineStr">
        <is>
          <t>Art Infra Patent Lic</t>
        </is>
      </c>
      <c r="C12" s="15" t="inlineStr">
        <is>
          <t>0-2%</t>
        </is>
      </c>
      <c r="D12" s="23">
        <f>'Digital &amp; IP Licensing'!D25</f>
        <v/>
      </c>
      <c r="E12" s="23">
        <f>'Digital &amp; IP Licensing'!E25</f>
        <v/>
      </c>
      <c r="F12" s="23">
        <f>'Digital &amp; IP Licensing'!F25</f>
        <v/>
      </c>
      <c r="G12" s="23">
        <f>'Digital &amp; IP Licensing'!G25</f>
        <v/>
      </c>
      <c r="H12" s="23">
        <f>'Digital &amp; IP Licensing'!H25</f>
        <v/>
      </c>
      <c r="I12" s="23">
        <f>'Digital &amp; IP Licensing'!I25</f>
        <v/>
      </c>
      <c r="J12" s="23">
        <f>'Digital &amp; IP Licensing'!J25</f>
        <v/>
      </c>
      <c r="K12" s="23">
        <f>'Digital &amp; IP Licensing'!K25</f>
        <v/>
      </c>
      <c r="L12" s="99" t="n"/>
      <c r="M12" s="99" t="n"/>
      <c r="N12" s="99" t="n"/>
      <c r="O12" s="99" t="n"/>
      <c r="P12" s="99" t="n"/>
      <c r="Q12" s="99" t="n"/>
      <c r="R12" s="99" t="n"/>
      <c r="S12" s="99" t="n"/>
    </row>
    <row r="13" ht="15" customHeight="1" s="103">
      <c r="L13" s="100" t="n"/>
      <c r="M13" s="100" t="n"/>
      <c r="N13" s="100" t="n"/>
      <c r="O13" s="100" t="n"/>
      <c r="P13" s="100" t="n"/>
      <c r="Q13" s="100" t="n"/>
      <c r="R13" s="100" t="n"/>
      <c r="S13" s="100" t="n"/>
    </row>
    <row r="14" ht="18" customHeight="1" s="103">
      <c r="B14" s="1" t="inlineStr">
        <is>
          <t>TOTAL REVENUE ($K)</t>
        </is>
      </c>
      <c r="D14" s="24">
        <f>SUM(D7:D12)</f>
        <v/>
      </c>
      <c r="E14" s="24">
        <f>SUM(E7:E12)</f>
        <v/>
      </c>
      <c r="F14" s="24">
        <f>SUM(F7:F12)</f>
        <v/>
      </c>
      <c r="G14" s="24">
        <f>SUM(G7:G12)</f>
        <v/>
      </c>
      <c r="H14" s="24">
        <f>SUM(H7:H12)</f>
        <v/>
      </c>
      <c r="I14" s="24">
        <f>SUM(I7:I12)</f>
        <v/>
      </c>
      <c r="J14" s="24">
        <f>SUM(J7:J12)</f>
        <v/>
      </c>
      <c r="K14" s="24">
        <f>SUM(K7:K12)</f>
        <v/>
      </c>
      <c r="L14" s="99" t="n"/>
      <c r="M14" s="99" t="n"/>
      <c r="N14" s="99" t="n"/>
      <c r="O14" s="99" t="n"/>
      <c r="P14" s="99" t="n"/>
      <c r="Q14" s="99" t="n"/>
      <c r="R14" s="99" t="n"/>
      <c r="S14" s="99" t="n"/>
    </row>
    <row r="15" ht="18.75" customHeight="1" s="103">
      <c r="B15" s="25" t="inlineStr">
        <is>
          <t>Revenue ($M)</t>
        </is>
      </c>
      <c r="D15" s="26">
        <f>D14/1000</f>
        <v/>
      </c>
      <c r="E15" s="26">
        <f>E14/1000</f>
        <v/>
      </c>
      <c r="F15" s="26">
        <f>F14/1000</f>
        <v/>
      </c>
      <c r="G15" s="26">
        <f>G14/1000</f>
        <v/>
      </c>
      <c r="H15" s="26">
        <f>H14/1000</f>
        <v/>
      </c>
      <c r="I15" s="26">
        <f>I14/1000</f>
        <v/>
      </c>
      <c r="J15" s="26">
        <f>J14/1000</f>
        <v/>
      </c>
      <c r="K15" s="26">
        <f>K14/1000</f>
        <v/>
      </c>
    </row>
    <row r="16" ht="12.75" customHeight="1" s="103">
      <c r="B16" s="15" t="inlineStr">
        <is>
          <t>YoY Growth</t>
        </is>
      </c>
      <c r="D16" s="27">
        <f>"—"</f>
        <v/>
      </c>
      <c r="E16" s="27">
        <f>(E14-D14)/D14</f>
        <v/>
      </c>
      <c r="F16" s="27">
        <f>(F14-E14)/E14</f>
        <v/>
      </c>
      <c r="G16" s="27">
        <f>(G14-F14)/F14</f>
        <v/>
      </c>
      <c r="H16" s="27">
        <f>(H14-G14)/G14</f>
        <v/>
      </c>
      <c r="I16" s="27">
        <f>(I14-H14)/H14</f>
        <v/>
      </c>
      <c r="J16" s="27">
        <f>(J14-I14)/I14</f>
        <v/>
      </c>
      <c r="K16" s="27">
        <f>(K14-J14)/J14</f>
        <v/>
      </c>
    </row>
    <row r="18" ht="13.5" customHeight="1" s="103">
      <c r="B18" s="28" t="inlineStr">
        <is>
          <t>COGS</t>
        </is>
      </c>
      <c r="C18" s="29" t="n"/>
      <c r="D18" s="29" t="n"/>
      <c r="E18" s="29" t="n"/>
      <c r="F18" s="29" t="n"/>
      <c r="G18" s="29" t="n"/>
      <c r="H18" s="29" t="n"/>
      <c r="I18" s="29" t="n"/>
      <c r="J18" s="29" t="n"/>
      <c r="K18" s="29" t="n"/>
    </row>
    <row r="19" ht="12.75" customHeight="1" s="103">
      <c r="B19" s="30" t="inlineStr">
        <is>
          <t xml:space="preserve">  HW COGS</t>
        </is>
      </c>
      <c r="C19" s="15" t="inlineStr">
        <is>
          <t>34-38% GM</t>
        </is>
      </c>
      <c r="D19" s="23">
        <f>-D7*(1-Hardware!D57)</f>
        <v/>
      </c>
      <c r="E19" s="23">
        <f>-E7*(1-Hardware!E57)</f>
        <v/>
      </c>
      <c r="F19" s="23">
        <f>-F7*(1-Hardware!F57)</f>
        <v/>
      </c>
      <c r="G19" s="23">
        <f>-G7*(1-Hardware!G57)</f>
        <v/>
      </c>
      <c r="H19" s="23">
        <f>-H7*(1-Hardware!H57)</f>
        <v/>
      </c>
      <c r="I19" s="23">
        <f>-I7*(1-Hardware!I57)</f>
        <v/>
      </c>
      <c r="J19" s="23">
        <f>-J7*(1-Hardware!J57)</f>
        <v/>
      </c>
      <c r="K19" s="23">
        <f>-K7*(1-Hardware!K57)</f>
        <v/>
      </c>
      <c r="L19" s="99" t="n"/>
      <c r="M19" s="99" t="n"/>
      <c r="N19" s="99" t="n"/>
      <c r="O19" s="99" t="n"/>
      <c r="P19" s="99" t="n"/>
      <c r="Q19" s="99" t="n"/>
      <c r="R19" s="99" t="n"/>
      <c r="S19" s="99" t="n"/>
    </row>
    <row r="20" ht="15.75" customHeight="1" s="103">
      <c r="B20" s="32" t="inlineStr">
        <is>
          <t xml:space="preserve">  HW Cons COGS</t>
        </is>
      </c>
      <c r="C20" s="31" t="inlineStr">
        <is>
          <t>50% GM</t>
        </is>
      </c>
      <c r="D20" s="33">
        <f>-D8*0.5</f>
        <v/>
      </c>
      <c r="E20" s="33">
        <f>-E8*0.5</f>
        <v/>
      </c>
      <c r="F20" s="33">
        <f>-F8*0.5</f>
        <v/>
      </c>
      <c r="G20" s="33">
        <f>-G8*0.5</f>
        <v/>
      </c>
      <c r="H20" s="33">
        <f>-H8*0.5</f>
        <v/>
      </c>
      <c r="I20" s="33">
        <f>-I8*0.5</f>
        <v/>
      </c>
      <c r="J20" s="33">
        <f>-J8*0.5</f>
        <v/>
      </c>
      <c r="K20" s="33">
        <f>-K8*0.5</f>
        <v/>
      </c>
      <c r="L20" s="99" t="n"/>
      <c r="M20" s="99" t="n"/>
      <c r="N20" s="99" t="n"/>
      <c r="O20" s="99" t="n"/>
      <c r="P20" s="99" t="n"/>
      <c r="Q20" s="99" t="n"/>
      <c r="R20" s="99" t="n"/>
      <c r="S20" s="99" t="n"/>
    </row>
    <row r="21" ht="15.75" customHeight="1" s="103">
      <c r="B21" s="32" t="inlineStr">
        <is>
          <t xml:space="preserve">  CPG COGS</t>
        </is>
      </c>
      <c r="C21" s="31" t="inlineStr">
        <is>
          <t>55% GM</t>
        </is>
      </c>
      <c r="D21" s="33">
        <f>-D9*0.45</f>
        <v/>
      </c>
      <c r="E21" s="33">
        <f>-E9*0.45</f>
        <v/>
      </c>
      <c r="F21" s="33">
        <f>-F9*0.45</f>
        <v/>
      </c>
      <c r="G21" s="33">
        <f>-G9*0.45</f>
        <v/>
      </c>
      <c r="H21" s="33">
        <f>-H9*0.45</f>
        <v/>
      </c>
      <c r="I21" s="33">
        <f>-I9*0.45</f>
        <v/>
      </c>
      <c r="J21" s="33">
        <f>-J9*0.45</f>
        <v/>
      </c>
      <c r="K21" s="33">
        <f>-K9*0.45</f>
        <v/>
      </c>
      <c r="L21" s="99" t="n"/>
      <c r="M21" s="99" t="n"/>
      <c r="N21" s="99" t="n"/>
      <c r="O21" s="99" t="n"/>
      <c r="P21" s="99" t="n"/>
      <c r="Q21" s="99" t="n"/>
      <c r="R21" s="99" t="n"/>
      <c r="S21" s="99" t="n"/>
    </row>
    <row r="22" ht="15.75" customHeight="1" s="103">
      <c r="B22" s="32" t="inlineStr">
        <is>
          <t xml:space="preserve">  Digital Subs+PP COGS</t>
        </is>
      </c>
      <c r="C22" s="31" t="inlineStr">
        <is>
          <t>~89% GM</t>
        </is>
      </c>
      <c r="D22" s="34">
        <f>-('Digital &amp; IP Licensing'!D14*0.1+'Digital &amp; IP Licensing'!D17*0.15)</f>
        <v/>
      </c>
      <c r="E22" s="34">
        <f>-('Digital &amp; IP Licensing'!E14*0.1+'Digital &amp; IP Licensing'!E17*0.15)</f>
        <v/>
      </c>
      <c r="F22" s="34">
        <f>-('Digital &amp; IP Licensing'!F14*0.1+'Digital &amp; IP Licensing'!F17*0.15)</f>
        <v/>
      </c>
      <c r="G22" s="34">
        <f>-('Digital &amp; IP Licensing'!G14*0.1+'Digital &amp; IP Licensing'!G17*0.15)</f>
        <v/>
      </c>
      <c r="H22" s="34">
        <f>-('Digital &amp; IP Licensing'!H14*0.1+'Digital &amp; IP Licensing'!H17*0.15)</f>
        <v/>
      </c>
      <c r="I22" s="34">
        <f>-('Digital &amp; IP Licensing'!I14*0.1+'Digital &amp; IP Licensing'!I17*0.15)</f>
        <v/>
      </c>
      <c r="J22" s="34">
        <f>-('Digital &amp; IP Licensing'!J14*0.1+'Digital &amp; IP Licensing'!J17*0.15)</f>
        <v/>
      </c>
      <c r="K22" s="34">
        <f>-('Digital &amp; IP Licensing'!K14*0.1+'Digital &amp; IP Licensing'!K17*0.15)</f>
        <v/>
      </c>
      <c r="L22" s="99" t="n"/>
      <c r="M22" s="99" t="n"/>
      <c r="N22" s="99" t="n"/>
      <c r="O22" s="99" t="n"/>
      <c r="P22" s="99" t="n"/>
      <c r="Q22" s="99" t="n"/>
      <c r="R22" s="99" t="n"/>
      <c r="S22" s="99" t="n"/>
    </row>
    <row r="23" ht="15.75" customHeight="1" s="103">
      <c r="B23" s="32" t="inlineStr">
        <is>
          <t xml:space="preserve">  Licensed+Act COGS</t>
        </is>
      </c>
      <c r="C23" s="31" t="inlineStr">
        <is>
          <t>48% GM</t>
        </is>
      </c>
      <c r="D23" s="33">
        <f>-D11*0.52</f>
        <v/>
      </c>
      <c r="E23" s="33">
        <f>-E11*0.52</f>
        <v/>
      </c>
      <c r="F23" s="33">
        <f>-F11*0.52</f>
        <v/>
      </c>
      <c r="G23" s="33">
        <f>-G11*0.52</f>
        <v/>
      </c>
      <c r="H23" s="33">
        <f>-H11*0.52</f>
        <v/>
      </c>
      <c r="I23" s="33">
        <f>-I11*0.52</f>
        <v/>
      </c>
      <c r="J23" s="33">
        <f>-J11*0.52</f>
        <v/>
      </c>
      <c r="K23" s="33">
        <f>-K11*0.52</f>
        <v/>
      </c>
      <c r="L23" s="99" t="n"/>
      <c r="M23" s="99" t="n"/>
      <c r="N23" s="99" t="n"/>
      <c r="O23" s="99" t="n"/>
      <c r="P23" s="99" t="n"/>
      <c r="Q23" s="99" t="n"/>
      <c r="R23" s="99" t="n"/>
      <c r="S23" s="99" t="n"/>
    </row>
    <row r="24" ht="15.75" customHeight="1" s="103">
      <c r="B24" s="32" t="inlineStr">
        <is>
          <t xml:space="preserve">  Patent Lic COGS</t>
        </is>
      </c>
      <c r="C24" s="31" t="inlineStr">
        <is>
          <t>95% GM</t>
        </is>
      </c>
      <c r="D24" s="33">
        <f>-D12*0.05</f>
        <v/>
      </c>
      <c r="E24" s="33">
        <f>-E12*0.05</f>
        <v/>
      </c>
      <c r="F24" s="33">
        <f>-F12*0.05</f>
        <v/>
      </c>
      <c r="G24" s="33">
        <f>-G12*0.05</f>
        <v/>
      </c>
      <c r="H24" s="33">
        <f>-H12*0.05</f>
        <v/>
      </c>
      <c r="I24" s="33">
        <f>-I12*0.05</f>
        <v/>
      </c>
      <c r="J24" s="33">
        <f>-J12*0.05</f>
        <v/>
      </c>
      <c r="K24" s="33">
        <f>-K12*0.05</f>
        <v/>
      </c>
      <c r="L24" s="99" t="n"/>
      <c r="M24" s="99" t="n"/>
      <c r="N24" s="99" t="n"/>
      <c r="O24" s="99" t="n"/>
      <c r="P24" s="99" t="n"/>
      <c r="Q24" s="99" t="n"/>
      <c r="R24" s="99" t="n"/>
      <c r="S24" s="99" t="n"/>
    </row>
    <row r="25" ht="13.5" customHeight="1" s="103">
      <c r="B25" s="35" t="inlineStr">
        <is>
          <t>Total COGS</t>
        </is>
      </c>
      <c r="C25" s="35" t="n"/>
      <c r="D25" s="36">
        <f>SUM(D19:D24)</f>
        <v/>
      </c>
      <c r="E25" s="36">
        <f>SUM(E19:E24)</f>
        <v/>
      </c>
      <c r="F25" s="36">
        <f>SUM(F19:F24)</f>
        <v/>
      </c>
      <c r="G25" s="36">
        <f>SUM(G19:G24)</f>
        <v/>
      </c>
      <c r="H25" s="36">
        <f>SUM(H19:H24)</f>
        <v/>
      </c>
      <c r="I25" s="36">
        <f>SUM(I19:I24)</f>
        <v/>
      </c>
      <c r="J25" s="36">
        <f>SUM(J19:J24)</f>
        <v/>
      </c>
      <c r="K25" s="36">
        <f>SUM(K19:K24)</f>
        <v/>
      </c>
      <c r="L25" s="99" t="n"/>
      <c r="M25" s="99" t="n"/>
      <c r="N25" s="99" t="n"/>
      <c r="O25" s="99" t="n"/>
      <c r="P25" s="99" t="n"/>
      <c r="Q25" s="99" t="n"/>
      <c r="R25" s="99" t="n"/>
      <c r="S25" s="99" t="n"/>
    </row>
    <row r="26" ht="13.5" customHeight="1" s="103">
      <c r="B26" s="16" t="inlineStr">
        <is>
          <t>GROSS PROFIT</t>
        </is>
      </c>
      <c r="D26" s="37">
        <f>D14+D25</f>
        <v/>
      </c>
      <c r="E26" s="37">
        <f>E14+E25</f>
        <v/>
      </c>
      <c r="F26" s="37">
        <f>F14+F25</f>
        <v/>
      </c>
      <c r="G26" s="37">
        <f>G14+G25</f>
        <v/>
      </c>
      <c r="H26" s="37">
        <f>H14+H25</f>
        <v/>
      </c>
      <c r="I26" s="37">
        <f>I14+I25</f>
        <v/>
      </c>
      <c r="J26" s="37">
        <f>J14+J25</f>
        <v/>
      </c>
      <c r="K26" s="37">
        <f>K14+K25</f>
        <v/>
      </c>
    </row>
    <row r="27" ht="13.5" customHeight="1" s="103">
      <c r="B27" s="38" t="inlineStr">
        <is>
          <t>Gross Margin %</t>
        </is>
      </c>
      <c r="D27" s="39">
        <f>IF(D14=0,0,D26/D14)</f>
        <v/>
      </c>
      <c r="E27" s="39">
        <f>IF(E14=0,0,E26/E14)</f>
        <v/>
      </c>
      <c r="F27" s="39">
        <f>IF(F14=0,0,F26/F14)</f>
        <v/>
      </c>
      <c r="G27" s="39">
        <f>IF(G14=0,0,G26/G14)</f>
        <v/>
      </c>
      <c r="H27" s="39">
        <f>IF(H14=0,0,H26/H14)</f>
        <v/>
      </c>
      <c r="I27" s="39">
        <f>IF(I14=0,0,I26/I14)</f>
        <v/>
      </c>
      <c r="J27" s="39">
        <f>IF(J14=0,0,J26/J14)</f>
        <v/>
      </c>
      <c r="K27" s="39">
        <f>IF(K14=0,0,K26/K14)</f>
        <v/>
      </c>
    </row>
    <row r="29" ht="13.5" customHeight="1" s="103">
      <c r="B29" s="28" t="inlineStr">
        <is>
          <t>OPEX</t>
        </is>
      </c>
      <c r="C29" s="29" t="n"/>
      <c r="D29" s="29" t="n"/>
      <c r="E29" s="29" t="n"/>
      <c r="F29" s="29" t="n"/>
      <c r="G29" s="29" t="n"/>
      <c r="H29" s="29" t="n"/>
      <c r="I29" s="29" t="n"/>
      <c r="J29" s="29" t="n"/>
      <c r="K29" s="29" t="n"/>
    </row>
    <row r="30" ht="12.75" customHeight="1" s="103">
      <c r="B30" s="6" t="inlineStr">
        <is>
          <t>S&amp;M</t>
        </is>
      </c>
      <c r="D30" s="95">
        <f>'Scenario Control'!AE46</f>
        <v/>
      </c>
      <c r="E30" s="95">
        <f>'Scenario Control'!AF46</f>
        <v/>
      </c>
      <c r="F30" s="95">
        <f>'Scenario Control'!AG46</f>
        <v/>
      </c>
      <c r="G30" s="95">
        <f>'Scenario Control'!AH46</f>
        <v/>
      </c>
      <c r="H30" s="95">
        <f>'Scenario Control'!AI46</f>
        <v/>
      </c>
      <c r="I30" s="95">
        <f>'Scenario Control'!AJ46</f>
        <v/>
      </c>
      <c r="J30" s="95">
        <f>'Scenario Control'!AK46</f>
        <v/>
      </c>
      <c r="K30" s="95">
        <f>'Scenario Control'!AL46</f>
        <v/>
      </c>
    </row>
    <row r="31" ht="12.75" customHeight="1" s="103">
      <c r="B31" s="6" t="inlineStr">
        <is>
          <t>R&amp;D</t>
        </is>
      </c>
      <c r="D31" s="95">
        <f>'Scenario Control'!AE47</f>
        <v/>
      </c>
      <c r="E31" s="95">
        <f>'Scenario Control'!AF47</f>
        <v/>
      </c>
      <c r="F31" s="95">
        <f>'Scenario Control'!AG47</f>
        <v/>
      </c>
      <c r="G31" s="95">
        <f>'Scenario Control'!AH47</f>
        <v/>
      </c>
      <c r="H31" s="95">
        <f>'Scenario Control'!AI47</f>
        <v/>
      </c>
      <c r="I31" s="95">
        <f>'Scenario Control'!AJ47</f>
        <v/>
      </c>
      <c r="J31" s="95">
        <f>'Scenario Control'!AK47</f>
        <v/>
      </c>
      <c r="K31" s="95">
        <f>'Scenario Control'!AL47</f>
        <v/>
      </c>
    </row>
    <row r="32" ht="12.75" customHeight="1" s="103">
      <c r="B32" s="6" t="inlineStr">
        <is>
          <t>G&amp;A</t>
        </is>
      </c>
      <c r="D32" s="95">
        <f>'Scenario Control'!AE48</f>
        <v/>
      </c>
      <c r="E32" s="95">
        <f>'Scenario Control'!AF48</f>
        <v/>
      </c>
      <c r="F32" s="95">
        <f>'Scenario Control'!AG48</f>
        <v/>
      </c>
      <c r="G32" s="95">
        <f>'Scenario Control'!AH48</f>
        <v/>
      </c>
      <c r="H32" s="95">
        <f>'Scenario Control'!AI48</f>
        <v/>
      </c>
      <c r="I32" s="95">
        <f>'Scenario Control'!AJ48</f>
        <v/>
      </c>
      <c r="J32" s="95">
        <f>'Scenario Control'!AK48</f>
        <v/>
      </c>
      <c r="K32" s="95">
        <f>'Scenario Control'!AL48</f>
        <v/>
      </c>
    </row>
    <row r="33" ht="12.75" customHeight="1" s="103">
      <c r="B33" s="6" t="inlineStr">
        <is>
          <t>Support</t>
        </is>
      </c>
      <c r="D33" s="95">
        <f>'Scenario Control'!AE49</f>
        <v/>
      </c>
      <c r="E33" s="95">
        <f>'Scenario Control'!AF49</f>
        <v/>
      </c>
      <c r="F33" s="95">
        <f>'Scenario Control'!AG49</f>
        <v/>
      </c>
      <c r="G33" s="95">
        <f>'Scenario Control'!AH49</f>
        <v/>
      </c>
      <c r="H33" s="95">
        <f>'Scenario Control'!AI49</f>
        <v/>
      </c>
      <c r="I33" s="95">
        <f>'Scenario Control'!AJ49</f>
        <v/>
      </c>
      <c r="J33" s="95">
        <f>'Scenario Control'!AK49</f>
        <v/>
      </c>
      <c r="K33" s="95">
        <f>'Scenario Control'!AL49</f>
        <v/>
      </c>
    </row>
    <row r="34" ht="13.5" customHeight="1" s="103">
      <c r="B34" s="16" t="inlineStr">
        <is>
          <t>Total OpEx</t>
        </is>
      </c>
      <c r="D34" s="37">
        <f>SUM(D30:D33)</f>
        <v/>
      </c>
      <c r="E34" s="37">
        <f>SUM(E30:E33)</f>
        <v/>
      </c>
      <c r="F34" s="37">
        <f>SUM(F30:F33)</f>
        <v/>
      </c>
      <c r="G34" s="37">
        <f>SUM(G30:G33)</f>
        <v/>
      </c>
      <c r="H34" s="37">
        <f>SUM(H30:H33)</f>
        <v/>
      </c>
      <c r="I34" s="37">
        <f>SUM(I30:I33)</f>
        <v/>
      </c>
      <c r="J34" s="37">
        <f>SUM(J30:J33)</f>
        <v/>
      </c>
      <c r="K34" s="37">
        <f>SUM(K30:K33)</f>
        <v/>
      </c>
    </row>
    <row r="35" ht="12.75" customHeight="1" s="103">
      <c r="B35" s="15" t="inlineStr">
        <is>
          <t>S&amp;M % Rev</t>
        </is>
      </c>
      <c r="D35" s="27">
        <f>IF(D14=0,0,-D30/D14)</f>
        <v/>
      </c>
      <c r="E35" s="27">
        <f>IF(E14=0,0,-E30/E14)</f>
        <v/>
      </c>
      <c r="F35" s="27">
        <f>IF(F14=0,0,-F30/F14)</f>
        <v/>
      </c>
      <c r="G35" s="27">
        <f>IF(G14=0,0,-G30/G14)</f>
        <v/>
      </c>
      <c r="H35" s="27">
        <f>IF(H14=0,0,-H30/H14)</f>
        <v/>
      </c>
      <c r="I35" s="27">
        <f>IF(I14=0,0,-I30/I14)</f>
        <v/>
      </c>
      <c r="J35" s="27">
        <f>IF(J14=0,0,-J30/J14)</f>
        <v/>
      </c>
      <c r="K35" s="27">
        <f>IF(K14=0,0,-K30/K14)</f>
        <v/>
      </c>
    </row>
    <row r="37" ht="13.5" customHeight="1" s="103">
      <c r="B37" s="28" t="inlineStr">
        <is>
          <t>PROFITABILITY</t>
        </is>
      </c>
      <c r="C37" s="29" t="n"/>
      <c r="D37" s="29" t="n"/>
      <c r="E37" s="29" t="n"/>
      <c r="F37" s="29" t="n"/>
      <c r="G37" s="29" t="n"/>
      <c r="H37" s="29" t="n"/>
      <c r="I37" s="29" t="n"/>
      <c r="J37" s="29" t="n"/>
      <c r="K37" s="29" t="n"/>
    </row>
    <row r="38" ht="13.5" customHeight="1" s="103">
      <c r="B38" s="16" t="inlineStr">
        <is>
          <t>EBITDA ($K)</t>
        </is>
      </c>
      <c r="D38" s="37">
        <f>D26+D34</f>
        <v/>
      </c>
      <c r="E38" s="37">
        <f>E26+E34</f>
        <v/>
      </c>
      <c r="F38" s="37">
        <f>F26+F34</f>
        <v/>
      </c>
      <c r="G38" s="37">
        <f>G26+G34</f>
        <v/>
      </c>
      <c r="H38" s="37">
        <f>H26+H34</f>
        <v/>
      </c>
      <c r="I38" s="37">
        <f>I26+I34</f>
        <v/>
      </c>
      <c r="J38" s="37">
        <f>J26+J34</f>
        <v/>
      </c>
      <c r="K38" s="37">
        <f>K26+K34</f>
        <v/>
      </c>
    </row>
    <row r="39" ht="12.75" customHeight="1" s="103">
      <c r="B39" s="15" t="inlineStr">
        <is>
          <t>EBITDA Margin</t>
        </is>
      </c>
      <c r="D39" s="27">
        <f>IF(D14=0,0,D38/D14)</f>
        <v/>
      </c>
      <c r="E39" s="27">
        <f>IF(E14=0,0,E38/E14)</f>
        <v/>
      </c>
      <c r="F39" s="27">
        <f>IF(F14=0,0,F38/F14)</f>
        <v/>
      </c>
      <c r="G39" s="27">
        <f>IF(G14=0,0,G38/G14)</f>
        <v/>
      </c>
      <c r="H39" s="27">
        <f>IF(H14=0,0,H38/H14)</f>
        <v/>
      </c>
      <c r="I39" s="27">
        <f>IF(I14=0,0,I38/I14)</f>
        <v/>
      </c>
      <c r="J39" s="27">
        <f>IF(J14=0,0,J38/J14)</f>
        <v/>
      </c>
      <c r="K39" s="27">
        <f>IF(K14=0,0,K38/K14)</f>
        <v/>
      </c>
    </row>
    <row r="41" ht="12.75" customHeight="1" s="103">
      <c r="B41" s="6" t="inlineStr">
        <is>
          <t>D&amp;A</t>
        </is>
      </c>
      <c r="D41" s="40">
        <f>-D14*0.02</f>
        <v/>
      </c>
      <c r="E41" s="40">
        <f>-E14*0.02</f>
        <v/>
      </c>
      <c r="F41" s="40">
        <f>-F14*0.02</f>
        <v/>
      </c>
      <c r="G41" s="40">
        <f>-G14*0.02</f>
        <v/>
      </c>
      <c r="H41" s="40">
        <f>-H14*0.02</f>
        <v/>
      </c>
      <c r="I41" s="40">
        <f>-I14*0.02</f>
        <v/>
      </c>
      <c r="J41" s="40">
        <f>-J14*0.02</f>
        <v/>
      </c>
      <c r="K41" s="40">
        <f>-K14*0.02</f>
        <v/>
      </c>
    </row>
    <row r="42" ht="13.5" customHeight="1" s="103">
      <c r="B42" s="16" t="inlineStr">
        <is>
          <t>EBIT</t>
        </is>
      </c>
      <c r="D42" s="37">
        <f>D38+D41</f>
        <v/>
      </c>
      <c r="E42" s="37">
        <f>E38+E41</f>
        <v/>
      </c>
      <c r="F42" s="37">
        <f>F38+F41</f>
        <v/>
      </c>
      <c r="G42" s="37">
        <f>G38+G41</f>
        <v/>
      </c>
      <c r="H42" s="37">
        <f>H38+H41</f>
        <v/>
      </c>
      <c r="I42" s="37">
        <f>I38+I41</f>
        <v/>
      </c>
      <c r="J42" s="37">
        <f>J38+J41</f>
        <v/>
      </c>
      <c r="K42" s="37">
        <f>K38+K41</f>
        <v/>
      </c>
    </row>
    <row r="43" ht="12.75" customHeight="1" s="103">
      <c r="B43" s="6" t="inlineStr">
        <is>
          <t>Tax 25%</t>
        </is>
      </c>
      <c r="D43" s="41">
        <f>IF(D42&gt;0,-D42*0.25,0)</f>
        <v/>
      </c>
      <c r="E43" s="41">
        <f>IF(E42&gt;0,-E42*0.25,0)</f>
        <v/>
      </c>
      <c r="F43" s="41">
        <f>IF(F42&gt;0,-F42*0.25,0)</f>
        <v/>
      </c>
      <c r="G43" s="41">
        <f>IF(G42&gt;0,-G42*0.25,0)</f>
        <v/>
      </c>
      <c r="H43" s="41">
        <f>IF(H42&gt;0,-H42*0.25,0)</f>
        <v/>
      </c>
      <c r="I43" s="41">
        <f>IF(I42&gt;0,-I42*0.25,0)</f>
        <v/>
      </c>
      <c r="J43" s="41">
        <f>IF(J42&gt;0,-J42*0.25,0)</f>
        <v/>
      </c>
      <c r="K43" s="41">
        <f>IF(K42&gt;0,-K42*0.25,0)</f>
        <v/>
      </c>
    </row>
    <row r="44" ht="13.5" customHeight="1" s="103">
      <c r="B44" s="16" t="inlineStr">
        <is>
          <t>NET INCOME</t>
        </is>
      </c>
      <c r="D44" s="37">
        <f>D42+D43</f>
        <v/>
      </c>
      <c r="E44" s="37">
        <f>E42+E43</f>
        <v/>
      </c>
      <c r="F44" s="37">
        <f>F42+F43</f>
        <v/>
      </c>
      <c r="G44" s="37">
        <f>G42+G43</f>
        <v/>
      </c>
      <c r="H44" s="37">
        <f>H42+H43</f>
        <v/>
      </c>
      <c r="I44" s="37">
        <f>I42+I43</f>
        <v/>
      </c>
      <c r="J44" s="37">
        <f>J42+J43</f>
        <v/>
      </c>
      <c r="K44" s="37">
        <f>K42+K43</f>
        <v/>
      </c>
    </row>
    <row r="45" ht="12.75" customHeight="1" s="103">
      <c r="B45" s="15" t="inlineStr">
        <is>
          <t>Net Margin</t>
        </is>
      </c>
      <c r="D45" s="27">
        <f>IF(D14=0,0,D44/D14)</f>
        <v/>
      </c>
      <c r="E45" s="27">
        <f>IF(E14=0,0,E44/E14)</f>
        <v/>
      </c>
      <c r="F45" s="27">
        <f>IF(F14=0,0,F44/F14)</f>
        <v/>
      </c>
      <c r="G45" s="27">
        <f>IF(G14=0,0,G44/G14)</f>
        <v/>
      </c>
      <c r="H45" s="27">
        <f>IF(H14=0,0,H44/H14)</f>
        <v/>
      </c>
      <c r="I45" s="27">
        <f>IF(I14=0,0,I44/I14)</f>
        <v/>
      </c>
      <c r="J45" s="27">
        <f>IF(J14=0,0,J44/J14)</f>
        <v/>
      </c>
      <c r="K45" s="27">
        <f>IF(K14=0,0,K44/K14)</f>
        <v/>
      </c>
    </row>
    <row r="47" ht="13.5" customHeight="1" s="103">
      <c r="B47" s="28" t="inlineStr">
        <is>
          <t>REVENUE MIX</t>
        </is>
      </c>
      <c r="C47" s="29" t="n"/>
      <c r="D47" s="29" t="n"/>
      <c r="E47" s="29" t="n"/>
      <c r="F47" s="29" t="n"/>
      <c r="G47" s="29" t="n"/>
      <c r="H47" s="29" t="n"/>
      <c r="I47" s="29" t="n"/>
      <c r="J47" s="29" t="n"/>
      <c r="K47" s="29" t="n"/>
    </row>
    <row r="48" ht="12.75" customHeight="1" s="103">
      <c r="B48" s="15" t="inlineStr">
        <is>
          <t>Hardware %</t>
        </is>
      </c>
      <c r="D48" s="27">
        <f>IF(D14=0,0,D7/D14)</f>
        <v/>
      </c>
      <c r="E48" s="27">
        <f>IF(E14=0,0,E7/E14)</f>
        <v/>
      </c>
      <c r="F48" s="27">
        <f>IF(F14=0,0,F7/F14)</f>
        <v/>
      </c>
      <c r="G48" s="27">
        <f>IF(G14=0,0,G7/G14)</f>
        <v/>
      </c>
      <c r="H48" s="27">
        <f>IF(H14=0,0,H7/H14)</f>
        <v/>
      </c>
      <c r="I48" s="27">
        <f>IF(I14=0,0,I7/I14)</f>
        <v/>
      </c>
      <c r="J48" s="27">
        <f>IF(J14=0,0,J7/J14)</f>
        <v/>
      </c>
      <c r="K48" s="27">
        <f>IF(K14=0,0,K7/K14)</f>
        <v/>
      </c>
    </row>
    <row r="49" ht="12.75" customHeight="1" s="103">
      <c r="B49" s="15" t="inlineStr">
        <is>
          <t>Cons+CPG %</t>
        </is>
      </c>
      <c r="D49" s="27">
        <f>IF(D14=0,0,(D8+D9)/D14)</f>
        <v/>
      </c>
      <c r="E49" s="27">
        <f>IF(E14=0,0,(E8+E9)/E14)</f>
        <v/>
      </c>
      <c r="F49" s="27">
        <f>IF(F14=0,0,(F8+F9)/F14)</f>
        <v/>
      </c>
      <c r="G49" s="27">
        <f>IF(G14=0,0,(G8+G9)/G14)</f>
        <v/>
      </c>
      <c r="H49" s="27">
        <f>IF(H14=0,0,(H8+H9)/H14)</f>
        <v/>
      </c>
      <c r="I49" s="27">
        <f>IF(I14=0,0,(I8+I9)/I14)</f>
        <v/>
      </c>
      <c r="J49" s="27">
        <f>IF(J14=0,0,(J8+J9)/J14)</f>
        <v/>
      </c>
      <c r="K49" s="27">
        <f>IF(K14=0,0,(K8+K9)/K14)</f>
        <v/>
      </c>
    </row>
    <row r="50" ht="12.75" customHeight="1" s="103">
      <c r="B50" s="15" t="inlineStr">
        <is>
          <t>Digital+IP %</t>
        </is>
      </c>
      <c r="D50" s="27">
        <f>IF(D14=0,0,(D10+D11+D12)/D14)</f>
        <v/>
      </c>
      <c r="E50" s="27">
        <f>IF(E14=0,0,(E10+E11+E12)/E14)</f>
        <v/>
      </c>
      <c r="F50" s="27">
        <f>IF(F14=0,0,(F10+F11+F12)/F14)</f>
        <v/>
      </c>
      <c r="G50" s="27">
        <f>IF(G14=0,0,(G10+G11+G12)/G14)</f>
        <v/>
      </c>
      <c r="H50" s="27">
        <f>IF(H14=0,0,(H10+H11+H12)/H14)</f>
        <v/>
      </c>
      <c r="I50" s="27">
        <f>IF(I14=0,0,(I10+I11+I12)/I14)</f>
        <v/>
      </c>
      <c r="J50" s="27">
        <f>IF(J14=0,0,(J10+J11+J12)/J14)</f>
        <v/>
      </c>
      <c r="K50" s="27">
        <f>IF(K14=0,0,(K10+K11+K12)/K14)</f>
        <v/>
      </c>
    </row>
    <row r="51" ht="13.5" customHeight="1" s="103">
      <c r="B51" s="38" t="inlineStr">
        <is>
          <t>Recurring %</t>
        </is>
      </c>
      <c r="D51" s="39">
        <f>IF(D14=0,0,(D8+D10+D11+D12)/D14)</f>
        <v/>
      </c>
      <c r="E51" s="39">
        <f>IF(E14=0,0,(E8+E10+E11+E12)/E14)</f>
        <v/>
      </c>
      <c r="F51" s="39">
        <f>IF(F14=0,0,(F8+F10+F11+F12)/F14)</f>
        <v/>
      </c>
      <c r="G51" s="39">
        <f>IF(G14=0,0,(G8+G10+G11+G12)/G14)</f>
        <v/>
      </c>
      <c r="H51" s="39">
        <f>IF(H14=0,0,(H8+H10+H11+H12)/H14)</f>
        <v/>
      </c>
      <c r="I51" s="39">
        <f>IF(I14=0,0,(I8+I10+I11+I12)/I14)</f>
        <v/>
      </c>
      <c r="J51" s="39">
        <f>IF(J14=0,0,(J8+J10+J11+J12)/J14)</f>
        <v/>
      </c>
      <c r="K51" s="39">
        <f>IF(K14=0,0,(K8+K10+K11+K12)/K14)</f>
        <v/>
      </c>
    </row>
  </sheetData>
  <pageMargins left="0.75" right="0.75" top="1" bottom="1" header="0.5" footer="0.5"/>
  <pageSetup orientation="portrait"/>
  <headerFooter>
    <oddHeader>&amp;L&amp;C&amp;R</oddHeader>
    <oddFooter>&amp;L&amp;C&amp;R</oddFooter>
    <evenHeader/>
    <evenFooter/>
    <firstHeader/>
    <firstFooter/>
  </headerFooter>
</worksheet>
</file>

<file path=xl/worksheets/sheet9.xml><?xml version="1.0" encoding="utf-8"?>
<worksheet xmlns="http://schemas.openxmlformats.org/spreadsheetml/2006/main">
  <sheetPr>
    <outlinePr summaryBelow="1" summaryRight="1"/>
    <pageSetUpPr/>
  </sheetPr>
  <dimension ref="B2:K58"/>
  <sheetViews>
    <sheetView showGridLines="0" workbookViewId="0">
      <selection activeCell="A1" sqref="A1"/>
    </sheetView>
  </sheetViews>
  <sheetFormatPr baseColWidth="8" defaultColWidth="9.109375" defaultRowHeight="15" customHeight="1"/>
  <cols>
    <col width="5" customWidth="1" style="103" min="1" max="1"/>
    <col width="28.5546875" customWidth="1" style="103" min="2" max="2"/>
    <col width="18" customWidth="1" style="103" min="3" max="3"/>
    <col width="14" customWidth="1" style="103" min="4" max="11"/>
  </cols>
  <sheetData>
    <row r="2" ht="15" customHeight="1" s="103">
      <c r="B2" s="1" t="inlineStr">
        <is>
          <t>REALITY CHECK — SCORECARD</t>
        </is>
      </c>
    </row>
    <row r="3" ht="15" customHeight="1" s="103">
      <c r="B3" s="2" t="inlineStr">
        <is>
          <t>Every metric stress-tested. 8-year model.</t>
        </is>
      </c>
    </row>
    <row r="5" ht="15" customHeight="1" s="103">
      <c r="D5" s="14" t="inlineStr">
        <is>
          <t>2026</t>
        </is>
      </c>
      <c r="E5" s="14" t="inlineStr">
        <is>
          <t>2027</t>
        </is>
      </c>
      <c r="F5" s="14" t="inlineStr">
        <is>
          <t>2028</t>
        </is>
      </c>
      <c r="G5" s="14" t="inlineStr">
        <is>
          <t>2029</t>
        </is>
      </c>
      <c r="H5" s="14" t="inlineStr">
        <is>
          <t>2030</t>
        </is>
      </c>
      <c r="I5" s="14" t="inlineStr">
        <is>
          <t>2031</t>
        </is>
      </c>
      <c r="J5" s="14" t="inlineStr">
        <is>
          <t>2032</t>
        </is>
      </c>
      <c r="K5" s="14" t="inlineStr">
        <is>
          <t>2033</t>
        </is>
      </c>
    </row>
    <row r="6" ht="15" customHeight="1" s="103">
      <c r="B6" s="3" t="inlineStr">
        <is>
          <t>1. GROWTH</t>
        </is>
      </c>
      <c r="C6" s="4" t="n"/>
      <c r="D6" s="4" t="n"/>
      <c r="E6" s="4" t="n"/>
      <c r="F6" s="4" t="n"/>
      <c r="G6" s="4" t="n"/>
      <c r="H6" s="4" t="n"/>
      <c r="I6" s="4" t="n"/>
      <c r="J6" s="4" t="n"/>
      <c r="K6" s="4" t="n"/>
    </row>
    <row r="7" ht="15" customHeight="1" s="103">
      <c r="B7" s="15" t="inlineStr">
        <is>
          <t>YoY</t>
        </is>
      </c>
      <c r="D7" s="61" t="inlineStr">
        <is>
          <t>—</t>
        </is>
      </c>
      <c r="E7" s="62">
        <f>'Full P&amp;L'!E16</f>
        <v/>
      </c>
      <c r="F7" s="62">
        <f>'Full P&amp;L'!F16</f>
        <v/>
      </c>
      <c r="G7" s="62">
        <f>'Full P&amp;L'!G16</f>
        <v/>
      </c>
      <c r="H7" s="62">
        <f>'Full P&amp;L'!H16</f>
        <v/>
      </c>
      <c r="I7" s="62">
        <f>'Full P&amp;L'!I16</f>
        <v/>
      </c>
      <c r="J7" s="62">
        <f>'Full P&amp;L'!J16</f>
        <v/>
      </c>
      <c r="K7" s="62">
        <f>'Full P&amp;L'!K16</f>
        <v/>
      </c>
    </row>
    <row r="8" ht="15" customHeight="1" s="103">
      <c r="B8" s="6" t="inlineStr">
        <is>
          <t>Max 523%. Cricut did 97% (2020). Declining each year.</t>
        </is>
      </c>
    </row>
    <row r="10" ht="15" customHeight="1" s="103">
      <c r="B10" s="3" t="inlineStr">
        <is>
          <t>2. UNITS</t>
        </is>
      </c>
      <c r="C10" s="4" t="n"/>
      <c r="D10" s="4" t="n"/>
      <c r="E10" s="4" t="n"/>
      <c r="F10" s="4" t="n"/>
      <c r="G10" s="4" t="n"/>
      <c r="H10" s="4" t="n"/>
      <c r="I10" s="4" t="n"/>
      <c r="J10" s="4" t="n"/>
      <c r="K10" s="4" t="n"/>
    </row>
    <row r="11" ht="15" customHeight="1" s="103">
      <c r="B11" s="6" t="inlineStr">
        <is>
          <t>Units/yr</t>
        </is>
      </c>
      <c r="D11" s="63">
        <f>Hardware!D54</f>
        <v/>
      </c>
      <c r="E11" s="63">
        <f>Hardware!E54</f>
        <v/>
      </c>
      <c r="F11" s="63">
        <f>Hardware!F54</f>
        <v/>
      </c>
      <c r="G11" s="63">
        <f>Hardware!G54</f>
        <v/>
      </c>
      <c r="H11" s="63">
        <f>Hardware!H54</f>
        <v/>
      </c>
      <c r="I11" s="63">
        <f>Hardware!I54</f>
        <v/>
      </c>
      <c r="J11" s="63">
        <f>Hardware!J54</f>
        <v/>
      </c>
      <c r="K11" s="63">
        <f>Hardware!K54</f>
        <v/>
      </c>
    </row>
    <row r="12" ht="15" customHeight="1" s="103">
      <c r="B12" s="6" t="inlineStr">
        <is>
          <t>Y8 4,022,000. Cricut ~4M. Instax 5M+. We're 101% of Cricut.</t>
        </is>
      </c>
    </row>
    <row r="14" ht="15" customHeight="1" s="103">
      <c r="B14" s="3" t="inlineStr">
        <is>
          <t>3. 3.0 VOLUME</t>
        </is>
      </c>
      <c r="C14" s="4" t="n"/>
      <c r="D14" s="4" t="n"/>
      <c r="E14" s="4" t="n"/>
      <c r="F14" s="4" t="n"/>
      <c r="G14" s="4" t="n"/>
      <c r="H14" s="4" t="n"/>
      <c r="I14" s="4" t="n"/>
      <c r="J14" s="4" t="n"/>
      <c r="K14" s="4" t="n"/>
    </row>
    <row r="15" ht="15" customHeight="1" s="103">
      <c r="B15" s="6" t="inlineStr">
        <is>
          <t>3.0 units</t>
        </is>
      </c>
      <c r="D15" s="63">
        <f>Hardware!D19</f>
        <v/>
      </c>
      <c r="E15" s="63">
        <f>Hardware!E19</f>
        <v/>
      </c>
      <c r="F15" s="63">
        <f>Hardware!F19</f>
        <v/>
      </c>
      <c r="G15" s="63">
        <f>Hardware!G19</f>
        <v/>
      </c>
      <c r="H15" s="63">
        <f>Hardware!H19</f>
        <v/>
      </c>
      <c r="I15" s="63">
        <f>Hardware!I19</f>
        <v/>
      </c>
      <c r="J15" s="63">
        <f>Hardware!J19</f>
        <v/>
      </c>
      <c r="K15" s="63">
        <f>Hardware!K19</f>
        <v/>
      </c>
    </row>
    <row r="16" ht="15" customHeight="1" s="103">
      <c r="B16" s="6" t="inlineStr">
        <is>
          <t>3,100,000 in Y8. Instax does 5M+. Easy-Bake ~500K steady. We're between.</t>
        </is>
      </c>
    </row>
    <row r="18" ht="15" customHeight="1" s="103">
      <c r="B18" s="3" t="inlineStr">
        <is>
          <t>4. MARGIN</t>
        </is>
      </c>
      <c r="C18" s="4" t="n"/>
      <c r="D18" s="4" t="n"/>
      <c r="E18" s="4" t="n"/>
      <c r="F18" s="4" t="n"/>
      <c r="G18" s="4" t="n"/>
      <c r="H18" s="4" t="n"/>
      <c r="I18" s="4" t="n"/>
      <c r="J18" s="4" t="n"/>
      <c r="K18" s="4" t="n"/>
    </row>
    <row r="19" ht="15" customHeight="1" s="103">
      <c r="B19" s="15" t="inlineStr">
        <is>
          <t>GM%</t>
        </is>
      </c>
      <c r="D19" s="62">
        <f>'Full P&amp;L'!D27</f>
        <v/>
      </c>
      <c r="E19" s="62">
        <f>'Full P&amp;L'!E27</f>
        <v/>
      </c>
      <c r="F19" s="62">
        <f>'Full P&amp;L'!F27</f>
        <v/>
      </c>
      <c r="G19" s="62">
        <f>'Full P&amp;L'!G27</f>
        <v/>
      </c>
      <c r="H19" s="62">
        <f>'Full P&amp;L'!H27</f>
        <v/>
      </c>
      <c r="I19" s="62">
        <f>'Full P&amp;L'!I27</f>
        <v/>
      </c>
      <c r="J19" s="62">
        <f>'Full P&amp;L'!J27</f>
        <v/>
      </c>
      <c r="K19" s="62">
        <f>'Full P&amp;L'!K27</f>
        <v/>
      </c>
    </row>
    <row r="20" ht="15" customHeight="1" s="103">
      <c r="B20" s="13" t="inlineStr">
        <is>
          <t>HW 20% mix × 40% + Cons+CPG + Digital 37% × 84% = 61.3%</t>
        </is>
      </c>
    </row>
    <row r="22" ht="15" customHeight="1" s="103">
      <c r="B22" s="3" t="inlineStr">
        <is>
          <t>5. EBITDA</t>
        </is>
      </c>
      <c r="C22" s="4" t="n"/>
      <c r="D22" s="4" t="n"/>
      <c r="E22" s="4" t="n"/>
      <c r="F22" s="4" t="n"/>
      <c r="G22" s="4" t="n"/>
      <c r="H22" s="4" t="n"/>
      <c r="I22" s="4" t="n"/>
      <c r="J22" s="4" t="n"/>
      <c r="K22" s="4" t="n"/>
    </row>
    <row r="23" ht="15" customHeight="1" s="103">
      <c r="B23" s="15" t="inlineStr">
        <is>
          <t>EBITDA%</t>
        </is>
      </c>
      <c r="D23" s="62">
        <f>'Full P&amp;L'!D39</f>
        <v/>
      </c>
      <c r="E23" s="62">
        <f>'Full P&amp;L'!E39</f>
        <v/>
      </c>
      <c r="F23" s="62">
        <f>'Full P&amp;L'!F39</f>
        <v/>
      </c>
      <c r="G23" s="62">
        <f>'Full P&amp;L'!G39</f>
        <v/>
      </c>
      <c r="H23" s="62">
        <f>'Full P&amp;L'!H39</f>
        <v/>
      </c>
      <c r="I23" s="62">
        <f>'Full P&amp;L'!I39</f>
        <v/>
      </c>
      <c r="J23" s="62">
        <f>'Full P&amp;L'!J39</f>
        <v/>
      </c>
      <c r="K23" s="62">
        <f>'Full P&amp;L'!K39</f>
        <v/>
      </c>
    </row>
    <row r="25" ht="15" customHeight="1" s="103">
      <c r="B25" s="3" t="inlineStr">
        <is>
          <t>6. SUBS</t>
        </is>
      </c>
      <c r="C25" s="4" t="n"/>
      <c r="D25" s="4" t="n"/>
      <c r="E25" s="4" t="n"/>
      <c r="F25" s="4" t="n"/>
      <c r="G25" s="4" t="n"/>
      <c r="H25" s="4" t="n"/>
      <c r="I25" s="4" t="n"/>
      <c r="J25" s="4" t="n"/>
      <c r="K25" s="4" t="n"/>
    </row>
    <row r="26" ht="15" customHeight="1" s="103">
      <c r="B26" s="6" t="inlineStr">
        <is>
          <t>Paid</t>
        </is>
      </c>
      <c r="D26" s="63">
        <f>'Digital &amp; IP Licensing'!D10</f>
        <v/>
      </c>
      <c r="E26" s="63">
        <f>'Digital &amp; IP Licensing'!E10</f>
        <v/>
      </c>
      <c r="F26" s="63">
        <f>'Digital &amp; IP Licensing'!F10</f>
        <v/>
      </c>
      <c r="G26" s="63">
        <f>'Digital &amp; IP Licensing'!G10</f>
        <v/>
      </c>
      <c r="H26" s="63">
        <f>'Digital &amp; IP Licensing'!H10</f>
        <v/>
      </c>
      <c r="I26" s="63">
        <f>'Digital &amp; IP Licensing'!I10</f>
        <v/>
      </c>
      <c r="J26" s="63">
        <f>'Digital &amp; IP Licensing'!J10</f>
        <v/>
      </c>
      <c r="K26" s="63">
        <f>'Digital &amp; IP Licensing'!K10</f>
        <v/>
      </c>
    </row>
    <row r="27" ht="15" customHeight="1" s="103">
      <c r="B27" s="6" t="inlineStr">
        <is>
          <t>2,700,000 paid. Cricut 2.96M. We're 91%.</t>
        </is>
      </c>
    </row>
    <row r="29" ht="15" customHeight="1" s="103">
      <c r="B29" s="3" t="inlineStr">
        <is>
          <t>7. CONS/USER</t>
        </is>
      </c>
      <c r="C29" s="4" t="n"/>
      <c r="D29" s="4" t="n"/>
      <c r="E29" s="4" t="n"/>
      <c r="F29" s="4" t="n"/>
      <c r="G29" s="4" t="n"/>
      <c r="H29" s="4" t="n"/>
      <c r="I29" s="4" t="n"/>
      <c r="J29" s="4" t="n"/>
      <c r="K29" s="4" t="n"/>
    </row>
    <row r="30" ht="15" customHeight="1" s="103">
      <c r="B30" s="42" t="inlineStr">
        <is>
          <t>$45/yr. Cricut ~$53. CONSERVATIVE.</t>
        </is>
      </c>
      <c r="D30" s="63">
        <f>'Consumables &amp; CPG'!D10</f>
        <v/>
      </c>
      <c r="E30" s="63">
        <f>'Consumables &amp; CPG'!E10</f>
        <v/>
      </c>
      <c r="F30" s="63">
        <f>'Consumables &amp; CPG'!F10</f>
        <v/>
      </c>
      <c r="G30" s="63">
        <f>'Consumables &amp; CPG'!G10</f>
        <v/>
      </c>
      <c r="H30" s="63">
        <f>'Consumables &amp; CPG'!H10</f>
        <v/>
      </c>
      <c r="I30" s="63">
        <f>'Consumables &amp; CPG'!I10</f>
        <v/>
      </c>
      <c r="J30" s="63">
        <f>'Consumables &amp; CPG'!J10</f>
        <v/>
      </c>
      <c r="K30" s="63">
        <f>'Consumables &amp; CPG'!K10</f>
        <v/>
      </c>
    </row>
    <row r="32" ht="15" customHeight="1" s="103">
      <c r="B32" s="3" t="inlineStr">
        <is>
          <t>8. INTL</t>
        </is>
      </c>
      <c r="C32" s="4" t="n"/>
      <c r="D32" s="4" t="n"/>
      <c r="E32" s="4" t="n"/>
      <c r="F32" s="4" t="n"/>
      <c r="G32" s="4" t="n"/>
      <c r="H32" s="4" t="n"/>
      <c r="I32" s="4" t="n"/>
      <c r="J32" s="4" t="n"/>
      <c r="K32" s="4" t="n"/>
    </row>
    <row r="33" ht="15" customHeight="1" s="103">
      <c r="B33" s="15" t="inlineStr">
        <is>
          <t>INTL%</t>
        </is>
      </c>
      <c r="D33" s="64">
        <f>IFERROR(Hardware!D24/Hardware!D19,0)</f>
        <v/>
      </c>
      <c r="E33" s="64">
        <f>IFERROR(Hardware!E24/Hardware!E19,0)</f>
        <v/>
      </c>
      <c r="F33" s="64">
        <f>IFERROR(Hardware!F24/Hardware!F19,0)</f>
        <v/>
      </c>
      <c r="G33" s="64">
        <f>IFERROR(Hardware!G24/Hardware!G19,0)</f>
        <v/>
      </c>
      <c r="H33" s="64">
        <f>IFERROR(Hardware!H24/Hardware!H19,0)</f>
        <v/>
      </c>
      <c r="I33" s="64">
        <f>IFERROR(Hardware!I24/Hardware!I19,0)</f>
        <v/>
      </c>
      <c r="J33" s="64">
        <f>IFERROR(Hardware!J24/Hardware!J19,0)</f>
        <v/>
      </c>
      <c r="K33" s="64">
        <f>IFERROR(Hardware!K24/Hardware!K19,0)</f>
        <v/>
      </c>
    </row>
    <row r="35" ht="15" customHeight="1" s="103">
      <c r="B35" s="3" t="inlineStr">
        <is>
          <t>9. PATENT LICENSING</t>
        </is>
      </c>
      <c r="C35" s="4" t="n"/>
      <c r="D35" s="4" t="n"/>
      <c r="E35" s="4" t="n"/>
      <c r="F35" s="4" t="n"/>
      <c r="G35" s="4" t="n"/>
      <c r="H35" s="4" t="n"/>
      <c r="I35" s="4" t="n"/>
      <c r="J35" s="4" t="n"/>
      <c r="K35" s="4" t="n"/>
    </row>
    <row r="36" ht="15" customHeight="1" s="103">
      <c r="B36" s="6" t="inlineStr">
        <is>
          <t>Patent Rev ($K)</t>
        </is>
      </c>
      <c r="D36" s="65">
        <f>'Full P&amp;L'!D12</f>
        <v/>
      </c>
      <c r="E36" s="65">
        <f>'Full P&amp;L'!E12</f>
        <v/>
      </c>
      <c r="F36" s="65">
        <f>'Full P&amp;L'!F12</f>
        <v/>
      </c>
      <c r="G36" s="65">
        <f>'Full P&amp;L'!G12</f>
        <v/>
      </c>
      <c r="H36" s="65">
        <f>'Full P&amp;L'!H12</f>
        <v/>
      </c>
      <c r="I36" s="65">
        <f>'Full P&amp;L'!I12</f>
        <v/>
      </c>
      <c r="J36" s="65">
        <f>'Full P&amp;L'!J12</f>
        <v/>
      </c>
      <c r="K36" s="65">
        <f>'Full P&amp;L'!K12</f>
        <v/>
      </c>
    </row>
    <row r="37" ht="15" customHeight="1" s="103">
      <c r="B37" s="6" t="inlineStr">
        <is>
          <t>Conservative: starts 2029, ramps to $25M by Y8. Qualcomm-style licensing on a small scale.</t>
        </is>
      </c>
    </row>
    <row r="39" ht="15" customHeight="1" s="103">
      <c r="B39" s="3" t="inlineStr">
        <is>
          <t>10. IP PORTFOLIO</t>
        </is>
      </c>
      <c r="C39" s="4" t="n"/>
      <c r="D39" s="4" t="n"/>
      <c r="E39" s="4" t="n"/>
      <c r="F39" s="4" t="n"/>
      <c r="G39" s="4" t="n"/>
      <c r="H39" s="4" t="n"/>
      <c r="I39" s="4" t="n"/>
      <c r="J39" s="4" t="n"/>
      <c r="K39" s="4" t="n"/>
    </row>
    <row r="40" ht="15" customHeight="1" s="103">
      <c r="B40" s="6" t="inlineStr">
        <is>
          <t>Today: 10 utility patents, 0 design patents</t>
        </is>
      </c>
    </row>
    <row r="41" ht="15" customHeight="1" s="103">
      <c r="B41" s="6" t="inlineStr">
        <is>
          <t>In progress: Art Infrastructure provisional (multi-substrate, UV-reveal, temp-reactive)</t>
        </is>
      </c>
    </row>
    <row r="42" ht="15" customHeight="1" s="103">
      <c r="B42" s="6" t="inlineStr">
        <is>
          <t>This is infrastructure-level IP. As smart beauty emerges, licensees come to Preemadonna.</t>
        </is>
      </c>
    </row>
    <row r="45" ht="15" customHeight="1" s="103">
      <c r="B45" s="3" t="inlineStr">
        <is>
          <t>SCORECARD</t>
        </is>
      </c>
      <c r="C45" s="4" t="n"/>
      <c r="D45" s="4" t="n"/>
      <c r="E45" s="4" t="n"/>
      <c r="F45" s="4" t="n"/>
      <c r="G45" s="4" t="n"/>
      <c r="H45" s="4" t="n"/>
      <c r="I45" s="4" t="n"/>
      <c r="J45" s="4" t="n"/>
      <c r="K45" s="4" t="n"/>
    </row>
    <row r="46" ht="15" customHeight="1" s="103">
      <c r="B46" s="13" t="inlineStr">
        <is>
          <t>Growth</t>
        </is>
      </c>
      <c r="C46" s="58" t="inlineStr">
        <is>
          <t>Max 523%</t>
        </is>
      </c>
      <c r="D46" s="43" t="inlineStr">
        <is>
          <t>WARN</t>
        </is>
      </c>
    </row>
    <row r="47" ht="15" customHeight="1" s="103">
      <c r="B47" s="13" t="inlineStr">
        <is>
          <t>Units</t>
        </is>
      </c>
      <c r="C47" s="59">
        <f>Hardware!K54</f>
        <v/>
      </c>
      <c r="D47" s="44" t="inlineStr">
        <is>
          <t>PASS</t>
        </is>
      </c>
    </row>
    <row r="48" ht="15" customHeight="1" s="103">
      <c r="B48" s="13" t="inlineStr">
        <is>
          <t>3.0</t>
        </is>
      </c>
      <c r="C48" s="59">
        <f>Hardware!K19</f>
        <v/>
      </c>
      <c r="D48" s="44" t="inlineStr">
        <is>
          <t>PASS</t>
        </is>
      </c>
    </row>
    <row r="49" ht="15" customHeight="1" s="103">
      <c r="B49" s="13" t="inlineStr">
        <is>
          <t>GM</t>
        </is>
      </c>
      <c r="C49" s="60">
        <f>'Full P&amp;L'!K27</f>
        <v/>
      </c>
      <c r="D49" s="44" t="inlineStr">
        <is>
          <t>PASS</t>
        </is>
      </c>
    </row>
    <row r="50" ht="15" customHeight="1" s="103">
      <c r="B50" s="13" t="inlineStr">
        <is>
          <t>EBITDA</t>
        </is>
      </c>
      <c r="C50" s="60">
        <f>'Full P&amp;L'!K39</f>
        <v/>
      </c>
      <c r="D50" s="44" t="inlineStr">
        <is>
          <t>PASS</t>
        </is>
      </c>
    </row>
    <row r="51" ht="15" customHeight="1" s="103">
      <c r="B51" s="13" t="inlineStr">
        <is>
          <t>Subs</t>
        </is>
      </c>
      <c r="C51" s="59">
        <f>'Digital &amp; IP Licensing'!K10</f>
        <v/>
      </c>
      <c r="D51" s="44" t="inlineStr">
        <is>
          <t>PASS</t>
        </is>
      </c>
    </row>
    <row r="52" ht="15" customHeight="1" s="103">
      <c r="B52" s="13" t="inlineStr">
        <is>
          <t>Cons</t>
        </is>
      </c>
      <c r="C52" s="59">
        <f>'Consumables &amp; CPG'!K8</f>
        <v/>
      </c>
      <c r="D52" s="44" t="inlineStr">
        <is>
          <t>PASS</t>
        </is>
      </c>
    </row>
    <row r="53" ht="15" customHeight="1" s="103">
      <c r="B53" s="13" t="inlineStr">
        <is>
          <t>Intl</t>
        </is>
      </c>
      <c r="C53" s="60">
        <f>'Full P&amp;L'!K10/'Full P&amp;L'!K14</f>
        <v/>
      </c>
      <c r="D53" s="44" t="inlineStr">
        <is>
          <t>PASS</t>
        </is>
      </c>
    </row>
    <row r="54" ht="15" customHeight="1" s="103">
      <c r="B54" s="13" t="inlineStr">
        <is>
          <t>Patent Lic</t>
        </is>
      </c>
      <c r="C54" s="58">
        <f>'Full P&amp;L'!K12</f>
        <v/>
      </c>
      <c r="D54" s="44" t="inlineStr">
        <is>
          <t>PASS</t>
        </is>
      </c>
    </row>
    <row r="55" ht="15" customHeight="1" s="103">
      <c r="B55" s="13" t="inlineStr">
        <is>
          <t>IP</t>
        </is>
      </c>
      <c r="C55" s="6" t="inlineStr">
        <is>
          <t>10 utility + infra prov</t>
        </is>
      </c>
      <c r="D55" s="45" t="inlineStr">
        <is>
          <t>BUILDING</t>
        </is>
      </c>
    </row>
    <row r="57" ht="21" customHeight="1" s="103">
      <c r="B57" s="46" t="inlineStr">
        <is>
          <t>YEAR 8 TOTAL REVENUE: $1149M</t>
        </is>
      </c>
    </row>
    <row r="58" ht="21" customHeight="1" s="103">
      <c r="B58" s="47" t="inlineStr">
        <is>
          <t>✓ $1B ACHIEVED</t>
        </is>
      </c>
    </row>
  </sheetData>
  <pageMargins left="0.75" right="0.75" top="1" bottom="1" header="0.5" footer="0.5"/>
  <pageSetup orientation="portrait"/>
  <headerFooter>
    <oddHeader>&amp;L&amp;C&amp;R</oddHeader>
    <oddFooter>&amp;L&amp;C&amp;R</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Pree Walia</dc:creator>
  <dcterms:created xmlns:dcterms="http://purl.org/dc/terms/" xmlns:xsi="http://www.w3.org/2001/XMLSchema-instance" xsi:type="dcterms:W3CDTF">2026-02-19T16:56:16Z</dcterms:created>
  <dcterms:modified xmlns:dcterms="http://purl.org/dc/terms/" xmlns:xsi="http://www.w3.org/2001/XMLSchema-instance" xsi:type="dcterms:W3CDTF">2026-06-16T23:50:38Z</dcterms:modified>
  <cp:lastModifiedBy>Ahmed Ehab</cp:lastModifiedBy>
</cp:coreProperties>
</file>

<file path=docProps/custom.xml><?xml version="1.0" encoding="utf-8"?>
<Properties xmlns="http://schemas.openxmlformats.org/officeDocument/2006/custom-properties">
  <property name="shortcut_file_id" fmtid="{D5CDD505-2E9C-101B-9397-08002B2CF9AE}" pid="2">
    <vt:lpwstr xmlns:vt="http://schemas.openxmlformats.org/officeDocument/2006/docPropsVTypes">2e227a9c-6358-4f18-884e-62c64269a537</vt:lpwstr>
  </property>
</Properties>
</file>